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15" windowHeight="8445" firstSheet="22" activeTab="25"/>
  </bookViews>
  <sheets>
    <sheet name="1.sz. melléklet" sheetId="1" r:id="rId1"/>
    <sheet name="2. sz. melléklet" sheetId="2" r:id="rId2"/>
    <sheet name="3. sz. melléklet" sheetId="3" r:id="rId3"/>
    <sheet name="4.sz. melléklet" sheetId="4" r:id="rId4"/>
    <sheet name="5.sz. melléklet-Önkormányzat" sheetId="5" r:id="rId5"/>
    <sheet name="5.sz. melléklet-Polg.Hiv." sheetId="6" r:id="rId6"/>
    <sheet name="5.sz. melléklet-Közterület" sheetId="7" r:id="rId7"/>
    <sheet name="5.sz. melléklet-Közös Hivatal" sheetId="8" r:id="rId8"/>
    <sheet name="6.sz. melléklet" sheetId="9" r:id="rId9"/>
    <sheet name="7. sz.  melléklet" sheetId="10" r:id="rId10"/>
    <sheet name="8. sz. melléklet" sheetId="11" r:id="rId11"/>
    <sheet name="9. sz. melléklet" sheetId="12" r:id="rId12"/>
    <sheet name="10. sz. melléklet" sheetId="13" r:id="rId13"/>
    <sheet name="11. sz. melléklet" sheetId="14" r:id="rId14"/>
    <sheet name="12. sz. melléklet" sheetId="15" r:id="rId15"/>
    <sheet name="13. sz. melléklet" sheetId="16" r:id="rId16"/>
    <sheet name="14. sz. melléklet" sheetId="17" r:id="rId17"/>
    <sheet name="15. sz. melléklet" sheetId="18" r:id="rId18"/>
    <sheet name="16. sz. melléklet" sheetId="19" r:id="rId19"/>
    <sheet name="17. sz. melléklet" sheetId="20" r:id="rId20"/>
    <sheet name="18. sz. melléklet" sheetId="21" r:id="rId21"/>
    <sheet name="19. sz. melléklet" sheetId="22" r:id="rId22"/>
    <sheet name="20. sz. melléklet" sheetId="23" r:id="rId23"/>
    <sheet name="21. sz. melléklet" sheetId="24" r:id="rId24"/>
    <sheet name="22. sz. melléklet" sheetId="25" r:id="rId25"/>
    <sheet name="23. sz. melléklet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c" localSheetId="8">#REF!</definedName>
    <definedName name="c">#REF!</definedName>
    <definedName name="Excel_BuiltIn__FilterDatabase_5" localSheetId="0">#REF!</definedName>
    <definedName name="Excel_BuiltIn__FilterDatabase_5" localSheetId="12">#REF!</definedName>
    <definedName name="Excel_BuiltIn__FilterDatabase_5" localSheetId="13">'[8]4. sz. melléklet'!#REF!</definedName>
    <definedName name="Excel_BuiltIn__FilterDatabase_5" localSheetId="14">'[8]4. sz. melléklet'!#REF!</definedName>
    <definedName name="Excel_BuiltIn__FilterDatabase_5" localSheetId="15">#REF!</definedName>
    <definedName name="Excel_BuiltIn__FilterDatabase_5" localSheetId="1">#REF!</definedName>
    <definedName name="Excel_BuiltIn__FilterDatabase_5" localSheetId="2">#REF!</definedName>
    <definedName name="Excel_BuiltIn__FilterDatabase_5" localSheetId="3">#REF!</definedName>
    <definedName name="Excel_BuiltIn__FilterDatabase_5" localSheetId="7">'5.sz. melléklet-Közös Hivatal'!#REF!</definedName>
    <definedName name="Excel_BuiltIn__FilterDatabase_5" localSheetId="6">'5.sz. melléklet-Közterület'!#REF!</definedName>
    <definedName name="Excel_BuiltIn__FilterDatabase_5" localSheetId="4">'5.sz. melléklet-Önkormányzat'!#REF!</definedName>
    <definedName name="Excel_BuiltIn__FilterDatabase_5" localSheetId="5">'5.sz. melléklet-Polg.Hiv.'!#REF!</definedName>
    <definedName name="Excel_BuiltIn__FilterDatabase_5" localSheetId="8">#REF!</definedName>
    <definedName name="Excel_BuiltIn__FilterDatabase_5" localSheetId="9">#REF!</definedName>
    <definedName name="Excel_BuiltIn__FilterDatabase_5" localSheetId="10">'[8]4. sz. melléklet'!#REF!</definedName>
    <definedName name="Excel_BuiltIn__FilterDatabase_5" localSheetId="11">'[8]4. sz. melléklet'!#REF!</definedName>
    <definedName name="Excel_BuiltIn__FilterDatabase_5">#REF!</definedName>
    <definedName name="Excel_BuiltIn__FilterDatabase_5_1" localSheetId="15">'[2]4. sz. melléklet'!#REF!</definedName>
    <definedName name="Excel_BuiltIn__FilterDatabase_5_1" localSheetId="4">'[2]4. sz. melléklet'!#REF!</definedName>
    <definedName name="Excel_BuiltIn__FilterDatabase_5_1" localSheetId="8">'[2]4. sz. melléklet'!#REF!</definedName>
    <definedName name="Excel_BuiltIn__FilterDatabase_5_1" localSheetId="9">'[2]4. sz. melléklet'!#REF!</definedName>
    <definedName name="Excel_BuiltIn__FilterDatabase_5_1">'[2]4. sz. melléklet'!#REF!</definedName>
    <definedName name="Excel_BuiltIn__FilterDatabase_5_10">NA()</definedName>
    <definedName name="Excel_BuiltIn__FilterDatabase_5_11" localSheetId="8">'[4]4. sz. melléklet'!#REF!</definedName>
    <definedName name="Excel_BuiltIn__FilterDatabase_5_11" localSheetId="9">'[4]4. sz. melléklet'!#REF!</definedName>
    <definedName name="Excel_BuiltIn__FilterDatabase_5_11">'[4]4. sz. melléklet'!#REF!</definedName>
    <definedName name="Excel_BuiltIn__FilterDatabase_5_12" localSheetId="8">'[4]4. sz. melléklet'!#REF!</definedName>
    <definedName name="Excel_BuiltIn__FilterDatabase_5_12" localSheetId="9">'[4]4. sz. melléklet'!#REF!</definedName>
    <definedName name="Excel_BuiltIn__FilterDatabase_5_12">'[4]4. sz. melléklet'!#REF!</definedName>
    <definedName name="Excel_BuiltIn__FilterDatabase_5_13" localSheetId="0">#REF!</definedName>
    <definedName name="Excel_BuiltIn__FilterDatabase_5_13" localSheetId="12">#REF!</definedName>
    <definedName name="Excel_BuiltIn__FilterDatabase_5_13" localSheetId="13">#REF!</definedName>
    <definedName name="Excel_BuiltIn__FilterDatabase_5_13" localSheetId="14">#REF!</definedName>
    <definedName name="Excel_BuiltIn__FilterDatabase_5_13" localSheetId="15">#REF!</definedName>
    <definedName name="Excel_BuiltIn__FilterDatabase_5_13" localSheetId="1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7">#REF!</definedName>
    <definedName name="Excel_BuiltIn__FilterDatabase_5_13" localSheetId="6">#REF!</definedName>
    <definedName name="Excel_BuiltIn__FilterDatabase_5_13" localSheetId="4">#REF!</definedName>
    <definedName name="Excel_BuiltIn__FilterDatabase_5_13" localSheetId="5">#REF!</definedName>
    <definedName name="Excel_BuiltIn__FilterDatabase_5_13" localSheetId="8">#REF!</definedName>
    <definedName name="Excel_BuiltIn__FilterDatabase_5_13" localSheetId="9">#REF!</definedName>
    <definedName name="Excel_BuiltIn__FilterDatabase_5_13" localSheetId="10">#REF!</definedName>
    <definedName name="Excel_BuiltIn__FilterDatabase_5_13" localSheetId="11">#REF!</definedName>
    <definedName name="Excel_BuiltIn__FilterDatabase_5_13">#REF!</definedName>
    <definedName name="Excel_BuiltIn__FilterDatabase_5_15" localSheetId="8">'[5]4. sz. melléklet'!#REF!</definedName>
    <definedName name="Excel_BuiltIn__FilterDatabase_5_15" localSheetId="9">'[5]4. sz. melléklet'!#REF!</definedName>
    <definedName name="Excel_BuiltIn__FilterDatabase_5_15">'[5]4. sz. melléklet'!#REF!</definedName>
    <definedName name="Excel_BuiltIn__FilterDatabase_5_17" localSheetId="0">#REF!</definedName>
    <definedName name="Excel_BuiltIn__FilterDatabase_5_17" localSheetId="12">#REF!</definedName>
    <definedName name="Excel_BuiltIn__FilterDatabase_5_17" localSheetId="13">#REF!</definedName>
    <definedName name="Excel_BuiltIn__FilterDatabase_5_17" localSheetId="14">#REF!</definedName>
    <definedName name="Excel_BuiltIn__FilterDatabase_5_17" localSheetId="15">#REF!</definedName>
    <definedName name="Excel_BuiltIn__FilterDatabase_5_17" localSheetId="1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7">#REF!</definedName>
    <definedName name="Excel_BuiltIn__FilterDatabase_5_17" localSheetId="6">#REF!</definedName>
    <definedName name="Excel_BuiltIn__FilterDatabase_5_17" localSheetId="4">#REF!</definedName>
    <definedName name="Excel_BuiltIn__FilterDatabase_5_17" localSheetId="5">#REF!</definedName>
    <definedName name="Excel_BuiltIn__FilterDatabase_5_17" localSheetId="8">#REF!</definedName>
    <definedName name="Excel_BuiltIn__FilterDatabase_5_17" localSheetId="9">#REF!</definedName>
    <definedName name="Excel_BuiltIn__FilterDatabase_5_17" localSheetId="10">#REF!</definedName>
    <definedName name="Excel_BuiltIn__FilterDatabase_5_17" localSheetId="11">#REF!</definedName>
    <definedName name="Excel_BuiltIn__FilterDatabase_5_17">#REF!</definedName>
    <definedName name="Excel_BuiltIn__FilterDatabase_5_5" localSheetId="8">'[3]4.A sz. melléklet'!#REF!</definedName>
    <definedName name="Excel_BuiltIn__FilterDatabase_5_5" localSheetId="9">'[3]4.A sz. melléklet'!#REF!</definedName>
    <definedName name="Excel_BuiltIn__FilterDatabase_5_5">'[3]4.A sz. melléklet'!#REF!</definedName>
    <definedName name="Excel_BuiltIn__FilterDatabase_5_6" localSheetId="8">'[3]4.B-C. sz. melléklet'!#REF!</definedName>
    <definedName name="Excel_BuiltIn__FilterDatabase_5_6" localSheetId="9">'[3]4.B-C. sz. melléklet'!#REF!</definedName>
    <definedName name="Excel_BuiltIn__FilterDatabase_5_6">'[3]4.B-C. sz. melléklet'!#REF!</definedName>
    <definedName name="Excel_BuiltIn__FilterDatabase_5_7">NA()</definedName>
    <definedName name="Excel_BuiltIn__FilterDatabase_5_8" localSheetId="8">'[4]4. sz. melléklet'!#REF!</definedName>
    <definedName name="Excel_BuiltIn__FilterDatabase_5_8" localSheetId="9">'[4]4. sz. melléklet'!#REF!</definedName>
    <definedName name="Excel_BuiltIn__FilterDatabase_5_8">'[4]4. sz. melléklet'!#REF!</definedName>
    <definedName name="Excel_BuiltIn__FilterDatabase_5_9" localSheetId="8">'[4]4. sz. melléklet'!#REF!</definedName>
    <definedName name="Excel_BuiltIn__FilterDatabase_5_9" localSheetId="9">'[4]4. sz. melléklet'!#REF!</definedName>
    <definedName name="Excel_BuiltIn__FilterDatabase_5_9">'[4]4. sz. melléklet'!#REF!</definedName>
    <definedName name="Excel_BuiltIn_Print_Area_1" localSheetId="0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7">#REF!</definedName>
    <definedName name="Excel_BuiltIn_Print_Area_1" localSheetId="6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>#REF!</definedName>
    <definedName name="Excel_BuiltIn_Print_Area_1_1">NA()</definedName>
    <definedName name="Excel_BuiltIn_Print_Area_1_15" localSheetId="0">#REF!</definedName>
    <definedName name="Excel_BuiltIn_Print_Area_1_15" localSheetId="12">#REF!</definedName>
    <definedName name="Excel_BuiltIn_Print_Area_1_15" localSheetId="13">#REF!</definedName>
    <definedName name="Excel_BuiltIn_Print_Area_1_15" localSheetId="14">#REF!</definedName>
    <definedName name="Excel_BuiltIn_Print_Area_1_15" localSheetId="15">#REF!</definedName>
    <definedName name="Excel_BuiltIn_Print_Area_1_15" localSheetId="1">#REF!</definedName>
    <definedName name="Excel_BuiltIn_Print_Area_1_15" localSheetId="2">#REF!</definedName>
    <definedName name="Excel_BuiltIn_Print_Area_1_15" localSheetId="3">#REF!</definedName>
    <definedName name="Excel_BuiltIn_Print_Area_1_15" localSheetId="7">#REF!</definedName>
    <definedName name="Excel_BuiltIn_Print_Area_1_15" localSheetId="6">#REF!</definedName>
    <definedName name="Excel_BuiltIn_Print_Area_1_15" localSheetId="4">#REF!</definedName>
    <definedName name="Excel_BuiltIn_Print_Area_1_15" localSheetId="5">#REF!</definedName>
    <definedName name="Excel_BuiltIn_Print_Area_1_15" localSheetId="8">#REF!</definedName>
    <definedName name="Excel_BuiltIn_Print_Area_1_15" localSheetId="9">#REF!</definedName>
    <definedName name="Excel_BuiltIn_Print_Area_1_15" localSheetId="10">#REF!</definedName>
    <definedName name="Excel_BuiltIn_Print_Area_1_15" localSheetId="11">#REF!</definedName>
    <definedName name="Excel_BuiltIn_Print_Area_1_15">#REF!</definedName>
    <definedName name="Excel_BuiltIn_Print_Area_1_21" localSheetId="8">'[3]18.'!#REF!</definedName>
    <definedName name="Excel_BuiltIn_Print_Area_1_21" localSheetId="9">'[3]18.'!#REF!</definedName>
    <definedName name="Excel_BuiltIn_Print_Area_1_21">'[3]18.'!#REF!</definedName>
    <definedName name="Excel_BuiltIn_Print_Area_1_22" localSheetId="8">'[3]19.'!#REF!</definedName>
    <definedName name="Excel_BuiltIn_Print_Area_1_22" localSheetId="9">'[3]19.'!#REF!</definedName>
    <definedName name="Excel_BuiltIn_Print_Area_1_22">'[3]19.'!#REF!</definedName>
    <definedName name="Excel_BuiltIn_Print_Area_2" localSheetId="0">#REF!</definedName>
    <definedName name="Excel_BuiltIn_Print_Area_2" localSheetId="12">#REF!</definedName>
    <definedName name="Excel_BuiltIn_Print_Area_2" localSheetId="13">#REF!</definedName>
    <definedName name="Excel_BuiltIn_Print_Area_2" localSheetId="14">#REF!</definedName>
    <definedName name="Excel_BuiltIn_Print_Area_2" localSheetId="15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 localSheetId="7">#REF!</definedName>
    <definedName name="Excel_BuiltIn_Print_Area_2" localSheetId="6">#REF!</definedName>
    <definedName name="Excel_BuiltIn_Print_Area_2" localSheetId="4">#REF!</definedName>
    <definedName name="Excel_BuiltIn_Print_Area_2" localSheetId="5">#REF!</definedName>
    <definedName name="Excel_BuiltIn_Print_Area_2" localSheetId="8">#REF!</definedName>
    <definedName name="Excel_BuiltIn_Print_Area_2" localSheetId="9">#REF!</definedName>
    <definedName name="Excel_BuiltIn_Print_Area_2" localSheetId="10">#REF!</definedName>
    <definedName name="Excel_BuiltIn_Print_Area_2" localSheetId="11">#REF!</definedName>
    <definedName name="Excel_BuiltIn_Print_Area_2">#REF!</definedName>
    <definedName name="Excel_BuiltIn_Print_Area_21" localSheetId="0">#REF!</definedName>
    <definedName name="Excel_BuiltIn_Print_Area_21" localSheetId="12">#REF!</definedName>
    <definedName name="Excel_BuiltIn_Print_Area_21" localSheetId="13">#REF!</definedName>
    <definedName name="Excel_BuiltIn_Print_Area_21" localSheetId="14">#REF!</definedName>
    <definedName name="Excel_BuiltIn_Print_Area_21" localSheetId="15">#REF!</definedName>
    <definedName name="Excel_BuiltIn_Print_Area_21" localSheetId="1">#REF!</definedName>
    <definedName name="Excel_BuiltIn_Print_Area_21" localSheetId="2">#REF!</definedName>
    <definedName name="Excel_BuiltIn_Print_Area_21" localSheetId="3">#REF!</definedName>
    <definedName name="Excel_BuiltIn_Print_Area_21" localSheetId="7">#REF!</definedName>
    <definedName name="Excel_BuiltIn_Print_Area_21" localSheetId="6">#REF!</definedName>
    <definedName name="Excel_BuiltIn_Print_Area_21" localSheetId="4">#REF!</definedName>
    <definedName name="Excel_BuiltIn_Print_Area_21" localSheetId="5">#REF!</definedName>
    <definedName name="Excel_BuiltIn_Print_Area_21" localSheetId="8">#REF!</definedName>
    <definedName name="Excel_BuiltIn_Print_Area_21" localSheetId="9">#REF!</definedName>
    <definedName name="Excel_BuiltIn_Print_Area_21" localSheetId="10">#REF!</definedName>
    <definedName name="Excel_BuiltIn_Print_Area_21" localSheetId="11">#REF!</definedName>
    <definedName name="Excel_BuiltIn_Print_Area_21">#REF!</definedName>
    <definedName name="Excel_BuiltIn_Print_Area_2_1" localSheetId="8">#REF!</definedName>
    <definedName name="Excel_BuiltIn_Print_Area_2_1">#REF!</definedName>
    <definedName name="Excel_BuiltIn_Print_Area_2_15" localSheetId="0">#REF!</definedName>
    <definedName name="Excel_BuiltIn_Print_Area_2_15" localSheetId="12">#REF!</definedName>
    <definedName name="Excel_BuiltIn_Print_Area_2_15" localSheetId="13">#REF!</definedName>
    <definedName name="Excel_BuiltIn_Print_Area_2_15" localSheetId="14">#REF!</definedName>
    <definedName name="Excel_BuiltIn_Print_Area_2_15" localSheetId="15">#REF!</definedName>
    <definedName name="Excel_BuiltIn_Print_Area_2_15" localSheetId="1">#REF!</definedName>
    <definedName name="Excel_BuiltIn_Print_Area_2_15" localSheetId="2">#REF!</definedName>
    <definedName name="Excel_BuiltIn_Print_Area_2_15" localSheetId="3">#REF!</definedName>
    <definedName name="Excel_BuiltIn_Print_Area_2_15" localSheetId="7">#REF!</definedName>
    <definedName name="Excel_BuiltIn_Print_Area_2_15" localSheetId="6">#REF!</definedName>
    <definedName name="Excel_BuiltIn_Print_Area_2_15" localSheetId="4">#REF!</definedName>
    <definedName name="Excel_BuiltIn_Print_Area_2_15" localSheetId="5">#REF!</definedName>
    <definedName name="Excel_BuiltIn_Print_Area_2_15" localSheetId="8">#REF!</definedName>
    <definedName name="Excel_BuiltIn_Print_Area_2_15" localSheetId="9">#REF!</definedName>
    <definedName name="Excel_BuiltIn_Print_Area_2_15" localSheetId="10">#REF!</definedName>
    <definedName name="Excel_BuiltIn_Print_Area_2_15" localSheetId="11">#REF!</definedName>
    <definedName name="Excel_BuiltIn_Print_Area_2_15">#REF!</definedName>
    <definedName name="Excel_BuiltIn_Print_Area_2_5" localSheetId="0">#REF!</definedName>
    <definedName name="Excel_BuiltIn_Print_Area_2_5" localSheetId="12">#REF!</definedName>
    <definedName name="Excel_BuiltIn_Print_Area_2_5" localSheetId="13">#REF!</definedName>
    <definedName name="Excel_BuiltIn_Print_Area_2_5" localSheetId="14">#REF!</definedName>
    <definedName name="Excel_BuiltIn_Print_Area_2_5" localSheetId="15">#REF!</definedName>
    <definedName name="Excel_BuiltIn_Print_Area_2_5" localSheetId="1">#REF!</definedName>
    <definedName name="Excel_BuiltIn_Print_Area_2_5" localSheetId="2">#REF!</definedName>
    <definedName name="Excel_BuiltIn_Print_Area_2_5" localSheetId="3">#REF!</definedName>
    <definedName name="Excel_BuiltIn_Print_Area_2_5" localSheetId="7">#REF!</definedName>
    <definedName name="Excel_BuiltIn_Print_Area_2_5" localSheetId="6">#REF!</definedName>
    <definedName name="Excel_BuiltIn_Print_Area_2_5" localSheetId="4">#REF!</definedName>
    <definedName name="Excel_BuiltIn_Print_Area_2_5" localSheetId="5">#REF!</definedName>
    <definedName name="Excel_BuiltIn_Print_Area_2_5" localSheetId="8">#REF!</definedName>
    <definedName name="Excel_BuiltIn_Print_Area_2_5" localSheetId="9">#REF!</definedName>
    <definedName name="Excel_BuiltIn_Print_Area_2_5" localSheetId="10">#REF!</definedName>
    <definedName name="Excel_BuiltIn_Print_Area_2_5" localSheetId="11">#REF!</definedName>
    <definedName name="Excel_BuiltIn_Print_Area_2_5">#REF!</definedName>
    <definedName name="Excel_BuiltIn_Print_Area_2_6" localSheetId="0">#REF!</definedName>
    <definedName name="Excel_BuiltIn_Print_Area_2_6" localSheetId="12">#REF!</definedName>
    <definedName name="Excel_BuiltIn_Print_Area_2_6" localSheetId="13">#REF!</definedName>
    <definedName name="Excel_BuiltIn_Print_Area_2_6" localSheetId="14">#REF!</definedName>
    <definedName name="Excel_BuiltIn_Print_Area_2_6" localSheetId="15">#REF!</definedName>
    <definedName name="Excel_BuiltIn_Print_Area_2_6" localSheetId="1">#REF!</definedName>
    <definedName name="Excel_BuiltIn_Print_Area_2_6" localSheetId="2">#REF!</definedName>
    <definedName name="Excel_BuiltIn_Print_Area_2_6" localSheetId="3">#REF!</definedName>
    <definedName name="Excel_BuiltIn_Print_Area_2_6" localSheetId="7">#REF!</definedName>
    <definedName name="Excel_BuiltIn_Print_Area_2_6" localSheetId="6">#REF!</definedName>
    <definedName name="Excel_BuiltIn_Print_Area_2_6" localSheetId="4">#REF!</definedName>
    <definedName name="Excel_BuiltIn_Print_Area_2_6" localSheetId="5">#REF!</definedName>
    <definedName name="Excel_BuiltIn_Print_Area_2_6" localSheetId="8">#REF!</definedName>
    <definedName name="Excel_BuiltIn_Print_Area_2_6" localSheetId="9">#REF!</definedName>
    <definedName name="Excel_BuiltIn_Print_Area_2_6" localSheetId="10">#REF!</definedName>
    <definedName name="Excel_BuiltIn_Print_Area_2_6" localSheetId="11">#REF!</definedName>
    <definedName name="Excel_BuiltIn_Print_Area_2_6">#REF!</definedName>
    <definedName name="Excel_BuiltIn_Print_Titles_6" localSheetId="8">'[3]4.B-C. sz. melléklet'!#REF!</definedName>
    <definedName name="Excel_BuiltIn_Print_Titles_6" localSheetId="9">'[3]4.B-C. sz. melléklet'!#REF!</definedName>
    <definedName name="Excel_BuiltIn_Print_Titles_6">'[3]4.B-C. sz. melléklet'!#REF!</definedName>
    <definedName name="fff" localSheetId="8">#REF!</definedName>
    <definedName name="fff">#REF!</definedName>
    <definedName name="_xlnm.Print_Titles" localSheetId="5">'5.sz. melléklet-Polg.Hiv.'!$4:$6</definedName>
    <definedName name="_xlnm.Print_Titles" localSheetId="8">'6.sz. melléklet'!$3:$5</definedName>
    <definedName name="_xlnm.Print_Titles" localSheetId="10">'8. sz. melléklet'!$100:$102</definedName>
    <definedName name="_xlnm.Print_Area" localSheetId="0">'1.sz. melléklet'!$A$1:$L$72</definedName>
    <definedName name="_xlnm.Print_Area" localSheetId="12">'10. sz. melléklet'!$A$1:$G$83</definedName>
    <definedName name="_xlnm.Print_Area" localSheetId="13">'11. sz. melléklet'!$A$1:$D$125</definedName>
    <definedName name="_xlnm.Print_Area" localSheetId="14">'12. sz. melléklet'!$A$1:$D$135</definedName>
    <definedName name="_xlnm.Print_Area" localSheetId="15">'13. sz. melléklet'!$A$1:$D$45</definedName>
    <definedName name="_xlnm.Print_Area" localSheetId="1">'2. sz. melléklet'!$A$1:$H$63</definedName>
    <definedName name="_xlnm.Print_Area" localSheetId="22">'20. sz. melléklet'!$A$1:$E$55</definedName>
    <definedName name="_xlnm.Print_Area" localSheetId="2">'3. sz. melléklet'!$A$1:$U$60</definedName>
    <definedName name="_xlnm.Print_Area" localSheetId="3">'4.sz. melléklet'!$A$1:$W$43</definedName>
    <definedName name="_xlnm.Print_Area" localSheetId="7">'5.sz. melléklet-Közös Hivatal'!$A$1:$O$129</definedName>
    <definedName name="_xlnm.Print_Area" localSheetId="6">'5.sz. melléklet-Közterület'!$A$1:$O$21</definedName>
    <definedName name="_xlnm.Print_Area" localSheetId="4">'5.sz. melléklet-Önkormányzat'!$A$1:$P$282</definedName>
    <definedName name="_xlnm.Print_Area" localSheetId="5">'5.sz. melléklet-Polg.Hiv.'!$A$1:$O$79</definedName>
    <definedName name="_xlnm.Print_Area" localSheetId="8">'6.sz. melléklet'!$A$1:$AI$234</definedName>
    <definedName name="_xlnm.Print_Area" localSheetId="9">'7. sz.  melléklet'!$A$1:$O$46</definedName>
    <definedName name="_xlnm.Print_Area" localSheetId="10">'8. sz. melléklet'!$A$1:$E$141</definedName>
    <definedName name="_xlnm.Print_Area" localSheetId="11">'9. sz. melléklet'!$A$1:$E$70</definedName>
    <definedName name="SHARED_FORMULA_1_10_1_10_2" localSheetId="8">SUM(#REF!,#REF!,#REF!,#REF!,#REF!,#REF!)</definedName>
    <definedName name="SHARED_FORMULA_1_10_1_10_2" localSheetId="10">SUM(#REF!,#REF!,#REF!,#REF!,#REF!,#REF!)</definedName>
    <definedName name="SHARED_FORMULA_1_10_1_10_2" localSheetId="11">SUM(#REF!,#REF!,#REF!,#REF!,#REF!,#REF!)</definedName>
    <definedName name="SHARED_FORMULA_1_10_1_10_2">SUM(#REF!,#REF!,#REF!,#REF!,#REF!,#REF!)</definedName>
    <definedName name="SHARED_FORMULA_1_26_1_26_2" localSheetId="8">SUM(#REF!,#REF!,#REF!)</definedName>
    <definedName name="SHARED_FORMULA_1_26_1_26_2" localSheetId="10">SUM(#REF!,#REF!,#REF!)</definedName>
    <definedName name="SHARED_FORMULA_1_26_1_26_2" localSheetId="11">SUM(#REF!,#REF!,#REF!)</definedName>
    <definedName name="SHARED_FORMULA_1_26_1_26_2">SUM(#REF!,#REF!,#REF!)</definedName>
    <definedName name="SHARED_FORMULA_1_38_1_38_8" localSheetId="8">SUM(#REF!)</definedName>
    <definedName name="SHARED_FORMULA_1_38_1_38_8" localSheetId="10">SUM(#REF!)</definedName>
    <definedName name="SHARED_FORMULA_1_38_1_38_8" localSheetId="11">SUM(#REF!)</definedName>
    <definedName name="SHARED_FORMULA_1_38_1_38_8">SUM(#REF!)</definedName>
    <definedName name="SHARED_FORMULA_1_42_1_42_8" localSheetId="8">SUM(#REF!,#REF!)</definedName>
    <definedName name="SHARED_FORMULA_1_42_1_42_8" localSheetId="10">SUM(#REF!,#REF!)</definedName>
    <definedName name="SHARED_FORMULA_1_42_1_42_8" localSheetId="11">SUM(#REF!,#REF!)</definedName>
    <definedName name="SHARED_FORMULA_1_42_1_42_8">SUM(#REF!,#REF!)</definedName>
    <definedName name="SHARED_FORMULA_10_41_10_41_2" localSheetId="8">SUM(#REF!+#REF!+#REF!)</definedName>
    <definedName name="SHARED_FORMULA_10_41_10_41_2" localSheetId="10">SUM(#REF!+#REF!+#REF!)</definedName>
    <definedName name="SHARED_FORMULA_10_41_10_41_2" localSheetId="11">SUM(#REF!+#REF!+#REF!)</definedName>
    <definedName name="SHARED_FORMULA_10_41_10_41_2">SUM(#REF!+#REF!+#REF!)</definedName>
    <definedName name="SHARED_FORMULA_10_5_10_5_2" localSheetId="8">SUM(#REF!+#REF!+#REF!)</definedName>
    <definedName name="SHARED_FORMULA_10_5_10_5_2" localSheetId="10">SUM(#REF!+#REF!+#REF!)</definedName>
    <definedName name="SHARED_FORMULA_10_5_10_5_2" localSheetId="11">SUM(#REF!+#REF!+#REF!)</definedName>
    <definedName name="SHARED_FORMULA_10_5_10_5_2">SUM(#REF!+#REF!+#REF!)</definedName>
    <definedName name="SHARED_FORMULA_11_40_11_40_2" localSheetId="8">SUM(#REF!+#REF!+#REF!)</definedName>
    <definedName name="SHARED_FORMULA_11_40_11_40_2" localSheetId="10">SUM(#REF!+#REF!+#REF!)</definedName>
    <definedName name="SHARED_FORMULA_11_40_11_40_2" localSheetId="11">SUM(#REF!+#REF!+#REF!)</definedName>
    <definedName name="SHARED_FORMULA_11_40_11_40_2">SUM(#REF!+#REF!+#REF!)</definedName>
    <definedName name="SHARED_FORMULA_11_5_11_5_2" localSheetId="8">SUM(#REF!+#REF!+#REF!)</definedName>
    <definedName name="SHARED_FORMULA_11_5_11_5_2" localSheetId="10">SUM(#REF!+#REF!+#REF!)</definedName>
    <definedName name="SHARED_FORMULA_11_5_11_5_2" localSheetId="11">SUM(#REF!+#REF!+#REF!)</definedName>
    <definedName name="SHARED_FORMULA_11_5_11_5_2">SUM(#REF!+#REF!+#REF!)</definedName>
    <definedName name="SHARED_FORMULA_12_13_12_13_3" localSheetId="8">SUM(#REF!+#REF!+#REF!)</definedName>
    <definedName name="SHARED_FORMULA_12_13_12_13_3" localSheetId="10">SUM(#REF!+#REF!+#REF!)</definedName>
    <definedName name="SHARED_FORMULA_12_13_12_13_3" localSheetId="11">SUM(#REF!+#REF!+#REF!)</definedName>
    <definedName name="SHARED_FORMULA_12_13_12_13_3">SUM(#REF!+#REF!+#REF!)</definedName>
    <definedName name="SHARED_FORMULA_12_133_12_133_5" localSheetId="8">SUM(#REF!)-#REF!-#REF!-#REF!</definedName>
    <definedName name="SHARED_FORMULA_12_133_12_133_5" localSheetId="10">SUM(#REF!)-#REF!-#REF!-#REF!</definedName>
    <definedName name="SHARED_FORMULA_12_133_12_133_5" localSheetId="11">SUM(#REF!)-#REF!-#REF!-#REF!</definedName>
    <definedName name="SHARED_FORMULA_12_133_12_133_5">SUM(#REF!)-#REF!-#REF!-#REF!</definedName>
    <definedName name="SHARED_FORMULA_12_40_12_40_2" localSheetId="8">SUM(#REF!+#REF!+#REF!)</definedName>
    <definedName name="SHARED_FORMULA_12_40_12_40_2" localSheetId="10">SUM(#REF!+#REF!+#REF!)</definedName>
    <definedName name="SHARED_FORMULA_12_40_12_40_2" localSheetId="11">SUM(#REF!+#REF!+#REF!)</definedName>
    <definedName name="SHARED_FORMULA_12_40_12_40_2">SUM(#REF!+#REF!+#REF!)</definedName>
    <definedName name="SHARED_FORMULA_12_5_12_5_2" localSheetId="8">SUM(#REF!+#REF!+#REF!)</definedName>
    <definedName name="SHARED_FORMULA_12_5_12_5_2" localSheetId="10">SUM(#REF!+#REF!+#REF!)</definedName>
    <definedName name="SHARED_FORMULA_12_5_12_5_2" localSheetId="11">SUM(#REF!+#REF!+#REF!)</definedName>
    <definedName name="SHARED_FORMULA_12_5_12_5_2">SUM(#REF!+#REF!+#REF!)</definedName>
    <definedName name="SHARED_FORMULA_12_5_12_5_3" localSheetId="8">SUM(#REF!+#REF!+#REF!)</definedName>
    <definedName name="SHARED_FORMULA_12_5_12_5_3" localSheetId="10">SUM(#REF!+#REF!+#REF!)</definedName>
    <definedName name="SHARED_FORMULA_12_5_12_5_3" localSheetId="11">SUM(#REF!+#REF!+#REF!)</definedName>
    <definedName name="SHARED_FORMULA_12_5_12_5_3">SUM(#REF!+#REF!+#REF!)</definedName>
    <definedName name="SHARED_FORMULA_12_6_12_6_0" localSheetId="8">#REF!/#REF!*100</definedName>
    <definedName name="SHARED_FORMULA_12_6_12_6_0" localSheetId="10">#REF!/#REF!*100</definedName>
    <definedName name="SHARED_FORMULA_12_6_12_6_0" localSheetId="11">#REF!/#REF!*100</definedName>
    <definedName name="SHARED_FORMULA_12_6_12_6_0">#REF!/#REF!*100</definedName>
    <definedName name="SHARED_FORMULA_13_105_13_105_5" localSheetId="8">SUM(#REF!)-#REF!</definedName>
    <definedName name="SHARED_FORMULA_13_105_13_105_5" localSheetId="10">SUM(#REF!)-#REF!</definedName>
    <definedName name="SHARED_FORMULA_13_105_13_105_5" localSheetId="11">SUM(#REF!)-#REF!</definedName>
    <definedName name="SHARED_FORMULA_13_105_13_105_5">SUM(#REF!)-#REF!</definedName>
    <definedName name="SHARED_FORMULA_13_3_13_3_5" localSheetId="8">SUM(#REF!)-#REF!</definedName>
    <definedName name="SHARED_FORMULA_13_3_13_3_5" localSheetId="10">SUM(#REF!)-#REF!</definedName>
    <definedName name="SHARED_FORMULA_13_3_13_3_5" localSheetId="11">SUM(#REF!)-#REF!</definedName>
    <definedName name="SHARED_FORMULA_13_3_13_3_5">SUM(#REF!)-#REF!</definedName>
    <definedName name="SHARED_FORMULA_13_41_13_41_5" localSheetId="8">SUM(#REF!)-#REF!</definedName>
    <definedName name="SHARED_FORMULA_13_41_13_41_5" localSheetId="10">SUM(#REF!)-#REF!</definedName>
    <definedName name="SHARED_FORMULA_13_41_13_41_5" localSheetId="11">SUM(#REF!)-#REF!</definedName>
    <definedName name="SHARED_FORMULA_13_41_13_41_5">SUM(#REF!)-#REF!</definedName>
    <definedName name="SHARED_FORMULA_13_73_13_73_5" localSheetId="8">SUM(#REF!)-#REF!</definedName>
    <definedName name="SHARED_FORMULA_13_73_13_73_5" localSheetId="10">SUM(#REF!)-#REF!</definedName>
    <definedName name="SHARED_FORMULA_13_73_13_73_5" localSheetId="11">SUM(#REF!)-#REF!</definedName>
    <definedName name="SHARED_FORMULA_13_73_13_73_5">SUM(#REF!)-#REF!</definedName>
    <definedName name="SHARED_FORMULA_13_9_13_9_3" localSheetId="8">SUM(#REF!+#REF!+#REF!)</definedName>
    <definedName name="SHARED_FORMULA_13_9_13_9_3" localSheetId="10">SUM(#REF!+#REF!+#REF!)</definedName>
    <definedName name="SHARED_FORMULA_13_9_13_9_3" localSheetId="11">SUM(#REF!+#REF!+#REF!)</definedName>
    <definedName name="SHARED_FORMULA_13_9_13_9_3">SUM(#REF!+#REF!+#REF!)</definedName>
    <definedName name="SHARED_FORMULA_14_102_14_102_5" localSheetId="8">#REF!</definedName>
    <definedName name="SHARED_FORMULA_14_102_14_102_5" localSheetId="10">#REF!</definedName>
    <definedName name="SHARED_FORMULA_14_102_14_102_5" localSheetId="11">#REF!</definedName>
    <definedName name="SHARED_FORMULA_14_102_14_102_5">#REF!</definedName>
    <definedName name="SHARED_FORMULA_14_121_14_121_5" localSheetId="8">#REF!+#REF!+#REF!+#REF!</definedName>
    <definedName name="SHARED_FORMULA_14_121_14_121_5" localSheetId="10">#REF!+#REF!+#REF!+#REF!</definedName>
    <definedName name="SHARED_FORMULA_14_121_14_121_5" localSheetId="11">#REF!+#REF!+#REF!+#REF!</definedName>
    <definedName name="SHARED_FORMULA_14_121_14_121_5">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10">#REF!+#REF!+#REF!+#REF!+#REF!+#REF!+#REF!+#REF!+#REF!+#REF!+#REF!+#REF!+#REF!+#REF!+#REF!+#REF!+#REF!+#REF!+#REF!+#REF!+#REF!+#REF!+#REF!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8">#REF!+#REF!</definedName>
    <definedName name="SHARED_FORMULA_14_150_14_150_5" localSheetId="10">#REF!+#REF!</definedName>
    <definedName name="SHARED_FORMULA_14_150_14_150_5" localSheetId="11">#REF!+#REF!</definedName>
    <definedName name="SHARED_FORMULA_14_150_14_150_5">#REF!+#REF!</definedName>
    <definedName name="SHARED_FORMULA_14_151_14_151_5" localSheetId="8">#REF!-#REF!</definedName>
    <definedName name="SHARED_FORMULA_14_151_14_151_5" localSheetId="10">#REF!-#REF!</definedName>
    <definedName name="SHARED_FORMULA_14_151_14_151_5" localSheetId="11">#REF!-#REF!</definedName>
    <definedName name="SHARED_FORMULA_14_151_14_151_5">#REF!-#REF!</definedName>
    <definedName name="SHARED_FORMULA_14_71_14_71_5" localSheetId="8">#REF!+#REF!+#REF!+#REF!</definedName>
    <definedName name="SHARED_FORMULA_14_71_14_71_5" localSheetId="10">#REF!+#REF!+#REF!+#REF!</definedName>
    <definedName name="SHARED_FORMULA_14_71_14_71_5" localSheetId="11">#REF!+#REF!+#REF!+#REF!</definedName>
    <definedName name="SHARED_FORMULA_14_71_14_71_5">#REF!+#REF!+#REF!+#REF!</definedName>
    <definedName name="SHARED_FORMULA_14_72_14_72_5" localSheetId="8">#REF!+#REF!+#REF!+#REF!</definedName>
    <definedName name="SHARED_FORMULA_14_72_14_72_5" localSheetId="10">#REF!+#REF!+#REF!+#REF!</definedName>
    <definedName name="SHARED_FORMULA_14_72_14_72_5" localSheetId="11">#REF!+#REF!+#REF!+#REF!</definedName>
    <definedName name="SHARED_FORMULA_14_72_14_72_5">#REF!+#REF!+#REF!+#REF!</definedName>
    <definedName name="SHARED_FORMULA_14_73_14_73_5" localSheetId="8">#REF!+#REF!+#REF!+#REF!</definedName>
    <definedName name="SHARED_FORMULA_14_73_14_73_5" localSheetId="10">#REF!+#REF!+#REF!+#REF!</definedName>
    <definedName name="SHARED_FORMULA_14_73_14_73_5" localSheetId="11">#REF!+#REF!+#REF!+#REF!</definedName>
    <definedName name="SHARED_FORMULA_14_73_14_73_5">#REF!+#REF!+#REF!+#REF!</definedName>
    <definedName name="SHARED_FORMULA_14_74_14_74_5" localSheetId="8">#REF!+#REF!+#REF!+#REF!</definedName>
    <definedName name="SHARED_FORMULA_14_74_14_74_5" localSheetId="10">#REF!+#REF!+#REF!+#REF!</definedName>
    <definedName name="SHARED_FORMULA_14_74_14_74_5" localSheetId="11">#REF!+#REF!+#REF!+#REF!</definedName>
    <definedName name="SHARED_FORMULA_14_74_14_74_5">#REF!+#REF!+#REF!+#REF!</definedName>
    <definedName name="SHARED_FORMULA_14_75_14_75_5" localSheetId="8">#REF!+#REF!+#REF!+#REF!</definedName>
    <definedName name="SHARED_FORMULA_14_75_14_75_5" localSheetId="10">#REF!+#REF!+#REF!+#REF!</definedName>
    <definedName name="SHARED_FORMULA_14_75_14_75_5" localSheetId="11">#REF!+#REF!+#REF!+#REF!</definedName>
    <definedName name="SHARED_FORMULA_14_75_14_75_5">#REF!+#REF!+#REF!+#REF!</definedName>
    <definedName name="SHARED_FORMULA_14_86_14_86_5" localSheetId="8">#REF!+#REF!</definedName>
    <definedName name="SHARED_FORMULA_14_86_14_86_5" localSheetId="10">#REF!+#REF!</definedName>
    <definedName name="SHARED_FORMULA_14_86_14_86_5" localSheetId="11">#REF!+#REF!</definedName>
    <definedName name="SHARED_FORMULA_14_86_14_86_5">#REF!+#REF!</definedName>
    <definedName name="SHARED_FORMULA_14_9_14_9_3" localSheetId="8">SUM(#REF!+#REF!+#REF!)</definedName>
    <definedName name="SHARED_FORMULA_14_9_14_9_3" localSheetId="10">SUM(#REF!+#REF!+#REF!)</definedName>
    <definedName name="SHARED_FORMULA_14_9_14_9_3" localSheetId="11">SUM(#REF!+#REF!+#REF!)</definedName>
    <definedName name="SHARED_FORMULA_14_9_14_9_3">SUM(#REF!+#REF!+#REF!)</definedName>
    <definedName name="SHARED_FORMULA_16_112_16_112_5" localSheetId="8">#REF!</definedName>
    <definedName name="SHARED_FORMULA_16_112_16_112_5" localSheetId="10">#REF!</definedName>
    <definedName name="SHARED_FORMULA_16_112_16_112_5" localSheetId="11">#REF!</definedName>
    <definedName name="SHARED_FORMULA_16_112_16_112_5">#REF!</definedName>
    <definedName name="SHARED_FORMULA_17_108_17_108_5" localSheetId="8">#REF!</definedName>
    <definedName name="SHARED_FORMULA_17_108_17_108_5" localSheetId="10">#REF!</definedName>
    <definedName name="SHARED_FORMULA_17_108_17_108_5" localSheetId="11">#REF!</definedName>
    <definedName name="SHARED_FORMULA_17_108_17_108_5">#REF!</definedName>
    <definedName name="SHARED_FORMULA_17_117_17_117_5" localSheetId="8">#REF!</definedName>
    <definedName name="SHARED_FORMULA_17_117_17_117_5" localSheetId="10">#REF!</definedName>
    <definedName name="SHARED_FORMULA_17_117_17_117_5" localSheetId="11">#REF!</definedName>
    <definedName name="SHARED_FORMULA_17_117_17_117_5">#REF!</definedName>
    <definedName name="SHARED_FORMULA_17_127_17_127_5" localSheetId="8">#REF!</definedName>
    <definedName name="SHARED_FORMULA_17_127_17_127_5" localSheetId="10">#REF!</definedName>
    <definedName name="SHARED_FORMULA_17_127_17_127_5" localSheetId="11">#REF!</definedName>
    <definedName name="SHARED_FORMULA_17_127_17_127_5">#REF!</definedName>
    <definedName name="SHARED_FORMULA_17_22_17_22_5" localSheetId="8">#REF!</definedName>
    <definedName name="SHARED_FORMULA_17_22_17_22_5" localSheetId="10">#REF!</definedName>
    <definedName name="SHARED_FORMULA_17_22_17_22_5" localSheetId="11">#REF!</definedName>
    <definedName name="SHARED_FORMULA_17_22_17_22_5">#REF!</definedName>
    <definedName name="SHARED_FORMULA_17_27_17_27_5" localSheetId="8">#REF!</definedName>
    <definedName name="SHARED_FORMULA_17_27_17_27_5" localSheetId="10">#REF!</definedName>
    <definedName name="SHARED_FORMULA_17_27_17_27_5" localSheetId="11">#REF!</definedName>
    <definedName name="SHARED_FORMULA_17_27_17_27_5">#REF!</definedName>
    <definedName name="SHARED_FORMULA_17_32_17_32_5" localSheetId="8">#REF!</definedName>
    <definedName name="SHARED_FORMULA_17_32_17_32_5" localSheetId="10">#REF!</definedName>
    <definedName name="SHARED_FORMULA_17_32_17_32_5" localSheetId="11">#REF!</definedName>
    <definedName name="SHARED_FORMULA_17_32_17_32_5">#REF!</definedName>
    <definedName name="SHARED_FORMULA_17_37_17_37_5" localSheetId="8">#REF!</definedName>
    <definedName name="SHARED_FORMULA_17_37_17_37_5" localSheetId="10">#REF!</definedName>
    <definedName name="SHARED_FORMULA_17_37_17_37_5" localSheetId="11">#REF!</definedName>
    <definedName name="SHARED_FORMULA_17_37_17_37_5">#REF!</definedName>
    <definedName name="SHARED_FORMULA_17_4_17_4_5" localSheetId="8">#REF!</definedName>
    <definedName name="SHARED_FORMULA_17_4_17_4_5" localSheetId="10">#REF!</definedName>
    <definedName name="SHARED_FORMULA_17_4_17_4_5" localSheetId="11">#REF!</definedName>
    <definedName name="SHARED_FORMULA_17_4_17_4_5">#REF!</definedName>
    <definedName name="SHARED_FORMULA_17_43_17_43_5" localSheetId="8">#REF!</definedName>
    <definedName name="SHARED_FORMULA_17_43_17_43_5" localSheetId="10">#REF!</definedName>
    <definedName name="SHARED_FORMULA_17_43_17_43_5" localSheetId="11">#REF!</definedName>
    <definedName name="SHARED_FORMULA_17_43_17_43_5">#REF!</definedName>
    <definedName name="SHARED_FORMULA_17_47_17_47_5" localSheetId="8">#REF!</definedName>
    <definedName name="SHARED_FORMULA_17_47_17_47_5" localSheetId="10">#REF!</definedName>
    <definedName name="SHARED_FORMULA_17_47_17_47_5" localSheetId="11">#REF!</definedName>
    <definedName name="SHARED_FORMULA_17_47_17_47_5">#REF!</definedName>
    <definedName name="SHARED_FORMULA_17_52_17_52_5" localSheetId="8">#REF!</definedName>
    <definedName name="SHARED_FORMULA_17_52_17_52_5" localSheetId="10">#REF!</definedName>
    <definedName name="SHARED_FORMULA_17_52_17_52_5" localSheetId="11">#REF!</definedName>
    <definedName name="SHARED_FORMULA_17_52_17_52_5">#REF!</definedName>
    <definedName name="SHARED_FORMULA_17_57_17_57_5" localSheetId="8">#REF!</definedName>
    <definedName name="SHARED_FORMULA_17_57_17_57_5" localSheetId="10">#REF!</definedName>
    <definedName name="SHARED_FORMULA_17_57_17_57_5" localSheetId="11">#REF!</definedName>
    <definedName name="SHARED_FORMULA_17_57_17_57_5">#REF!</definedName>
    <definedName name="SHARED_FORMULA_17_62_17_62_5" localSheetId="8">#REF!</definedName>
    <definedName name="SHARED_FORMULA_17_62_17_62_5" localSheetId="10">#REF!</definedName>
    <definedName name="SHARED_FORMULA_17_62_17_62_5" localSheetId="11">#REF!</definedName>
    <definedName name="SHARED_FORMULA_17_62_17_62_5">#REF!</definedName>
    <definedName name="SHARED_FORMULA_17_67_17_67_5" localSheetId="8">#REF!</definedName>
    <definedName name="SHARED_FORMULA_17_67_17_67_5" localSheetId="10">#REF!</definedName>
    <definedName name="SHARED_FORMULA_17_67_17_67_5" localSheetId="11">#REF!</definedName>
    <definedName name="SHARED_FORMULA_17_67_17_67_5">#REF!</definedName>
    <definedName name="SHARED_FORMULA_17_77_17_77_5" localSheetId="8">#REF!</definedName>
    <definedName name="SHARED_FORMULA_17_77_17_77_5" localSheetId="10">#REF!</definedName>
    <definedName name="SHARED_FORMULA_17_77_17_77_5" localSheetId="11">#REF!</definedName>
    <definedName name="SHARED_FORMULA_17_77_17_77_5">#REF!</definedName>
    <definedName name="SHARED_FORMULA_17_82_17_82_5" localSheetId="8">#REF!</definedName>
    <definedName name="SHARED_FORMULA_17_82_17_82_5" localSheetId="10">#REF!</definedName>
    <definedName name="SHARED_FORMULA_17_82_17_82_5" localSheetId="11">#REF!</definedName>
    <definedName name="SHARED_FORMULA_17_82_17_82_5">#REF!</definedName>
    <definedName name="SHARED_FORMULA_17_9_17_9_5" localSheetId="8">#REF!</definedName>
    <definedName name="SHARED_FORMULA_17_9_17_9_5" localSheetId="10">#REF!</definedName>
    <definedName name="SHARED_FORMULA_17_9_17_9_5" localSheetId="11">#REF!</definedName>
    <definedName name="SHARED_FORMULA_17_9_17_9_5">#REF!</definedName>
    <definedName name="SHARED_FORMULA_17_92_17_92_5" localSheetId="8">#REF!</definedName>
    <definedName name="SHARED_FORMULA_17_92_17_92_5" localSheetId="10">#REF!</definedName>
    <definedName name="SHARED_FORMULA_17_92_17_92_5" localSheetId="11">#REF!</definedName>
    <definedName name="SHARED_FORMULA_17_92_17_92_5">#REF!</definedName>
    <definedName name="SHARED_FORMULA_17_97_17_97_5" localSheetId="8">#REF!</definedName>
    <definedName name="SHARED_FORMULA_17_97_17_97_5" localSheetId="10">#REF!</definedName>
    <definedName name="SHARED_FORMULA_17_97_17_97_5" localSheetId="11">#REF!</definedName>
    <definedName name="SHARED_FORMULA_17_97_17_97_5">#REF!</definedName>
    <definedName name="SHARED_FORMULA_2_102_2_102_5" localSheetId="8">#REF!</definedName>
    <definedName name="SHARED_FORMULA_2_102_2_102_5" localSheetId="10">#REF!</definedName>
    <definedName name="SHARED_FORMULA_2_102_2_102_5" localSheetId="11">#REF!</definedName>
    <definedName name="SHARED_FORMULA_2_102_2_102_5">#REF!</definedName>
    <definedName name="SHARED_FORMULA_2_107_2_107_5" localSheetId="8">#REF!</definedName>
    <definedName name="SHARED_FORMULA_2_107_2_107_5" localSheetId="10">#REF!</definedName>
    <definedName name="SHARED_FORMULA_2_107_2_107_5" localSheetId="11">#REF!</definedName>
    <definedName name="SHARED_FORMULA_2_107_2_107_5">#REF!</definedName>
    <definedName name="SHARED_FORMULA_2_112_2_112_5" localSheetId="8">#REF!</definedName>
    <definedName name="SHARED_FORMULA_2_112_2_112_5" localSheetId="10">#REF!</definedName>
    <definedName name="SHARED_FORMULA_2_112_2_112_5" localSheetId="11">#REF!</definedName>
    <definedName name="SHARED_FORMULA_2_112_2_112_5">#REF!</definedName>
    <definedName name="SHARED_FORMULA_2_121_2_121_5" localSheetId="8">#REF!+#REF!+#REF!+#REF!</definedName>
    <definedName name="SHARED_FORMULA_2_121_2_121_5" localSheetId="10">#REF!+#REF!+#REF!+#REF!</definedName>
    <definedName name="SHARED_FORMULA_2_121_2_121_5" localSheetId="11">#REF!+#REF!+#REF!+#REF!</definedName>
    <definedName name="SHARED_FORMULA_2_121_2_121_5">#REF!+#REF!+#REF!+#REF!</definedName>
    <definedName name="SHARED_FORMULA_2_122_2_122_5" localSheetId="8">#REF!+#REF!+#REF!+#REF!</definedName>
    <definedName name="SHARED_FORMULA_2_122_2_122_5" localSheetId="10">#REF!+#REF!+#REF!+#REF!</definedName>
    <definedName name="SHARED_FORMULA_2_122_2_122_5" localSheetId="11">#REF!+#REF!+#REF!+#REF!</definedName>
    <definedName name="SHARED_FORMULA_2_122_2_122_5">#REF!+#REF!+#REF!+#REF!</definedName>
    <definedName name="SHARED_FORMULA_2_123_2_123_5" localSheetId="8">#REF!+#REF!+#REF!+#REF!</definedName>
    <definedName name="SHARED_FORMULA_2_123_2_123_5" localSheetId="10">#REF!+#REF!+#REF!+#REF!</definedName>
    <definedName name="SHARED_FORMULA_2_123_2_123_5" localSheetId="11">#REF!+#REF!+#REF!+#REF!</definedName>
    <definedName name="SHARED_FORMULA_2_123_2_123_5">#REF!+#REF!+#REF!+#REF!</definedName>
    <definedName name="SHARED_FORMULA_2_124_2_124_5" localSheetId="8">#REF!+#REF!+#REF!+#REF!</definedName>
    <definedName name="SHARED_FORMULA_2_124_2_124_5" localSheetId="10">#REF!+#REF!+#REF!+#REF!</definedName>
    <definedName name="SHARED_FORMULA_2_124_2_124_5" localSheetId="11">#REF!+#REF!+#REF!+#REF!</definedName>
    <definedName name="SHARED_FORMULA_2_124_2_124_5">#REF!+#REF!+#REF!+#REF!</definedName>
    <definedName name="SHARED_FORMULA_2_125_2_125_5" localSheetId="8">#REF!+#REF!+#REF!+#REF!</definedName>
    <definedName name="SHARED_FORMULA_2_125_2_125_5" localSheetId="10">#REF!+#REF!+#REF!+#REF!</definedName>
    <definedName name="SHARED_FORMULA_2_125_2_125_5" localSheetId="11">#REF!+#REF!+#REF!+#REF!</definedName>
    <definedName name="SHARED_FORMULA_2_125_2_125_5">#REF!+#REF!+#REF!+#REF!</definedName>
    <definedName name="SHARED_FORMULA_2_127_2_127_5" localSheetId="8">#REF!</definedName>
    <definedName name="SHARED_FORMULA_2_127_2_127_5" localSheetId="10">#REF!</definedName>
    <definedName name="SHARED_FORMULA_2_127_2_127_5" localSheetId="11">#REF!</definedName>
    <definedName name="SHARED_FORMULA_2_127_2_127_5">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10">#REF!+#REF!+#REF!+#REF!+#REF!+#REF!+#REF!+#REF!+#REF!+#REF!+#REF!+#REF!+#REF!+#REF!+#REF!+#REF!+#REF!+#REF!+#REF!+#REF!+#REF!+#REF!+#REF!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10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10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10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8">#REF!</definedName>
    <definedName name="SHARED_FORMULA_2_14_2_14_5" localSheetId="10">#REF!</definedName>
    <definedName name="SHARED_FORMULA_2_14_2_14_5" localSheetId="11">#REF!</definedName>
    <definedName name="SHARED_FORMULA_2_14_2_14_5">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10">#REF!+#REF!+#REF!+#REF!+#REF!+#REF!+#REF!+#REF!+#REF!+#REF!+#REF!+#REF!+#REF!+#REF!+#REF!+#REF!+#REF!+#REF!+#REF!+#REF!+#REF!+#REF!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10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10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10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10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10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8">#REF!-#REF!</definedName>
    <definedName name="SHARED_FORMULA_2_146_2_146_5" localSheetId="10">#REF!-#REF!</definedName>
    <definedName name="SHARED_FORMULA_2_146_2_146_5" localSheetId="11">#REF!-#REF!</definedName>
    <definedName name="SHARED_FORMULA_2_146_2_146_5">#REF!-#REF!</definedName>
    <definedName name="SHARED_FORMULA_2_22_2_22_5" localSheetId="8">#REF!</definedName>
    <definedName name="SHARED_FORMULA_2_22_2_22_5" localSheetId="10">#REF!</definedName>
    <definedName name="SHARED_FORMULA_2_22_2_22_5" localSheetId="11">#REF!</definedName>
    <definedName name="SHARED_FORMULA_2_22_2_22_5">#REF!</definedName>
    <definedName name="SHARED_FORMULA_2_27_2_27_5" localSheetId="8">#REF!</definedName>
    <definedName name="SHARED_FORMULA_2_27_2_27_5" localSheetId="10">#REF!</definedName>
    <definedName name="SHARED_FORMULA_2_27_2_27_5" localSheetId="11">#REF!</definedName>
    <definedName name="SHARED_FORMULA_2_27_2_27_5">#REF!</definedName>
    <definedName name="SHARED_FORMULA_2_32_2_32_5" localSheetId="8">#REF!</definedName>
    <definedName name="SHARED_FORMULA_2_32_2_32_5" localSheetId="10">#REF!</definedName>
    <definedName name="SHARED_FORMULA_2_32_2_32_5" localSheetId="11">#REF!</definedName>
    <definedName name="SHARED_FORMULA_2_32_2_32_5">#REF!</definedName>
    <definedName name="SHARED_FORMULA_2_37_2_37_5" localSheetId="8">#REF!</definedName>
    <definedName name="SHARED_FORMULA_2_37_2_37_5" localSheetId="10">#REF!</definedName>
    <definedName name="SHARED_FORMULA_2_37_2_37_5" localSheetId="11">#REF!</definedName>
    <definedName name="SHARED_FORMULA_2_37_2_37_5">#REF!</definedName>
    <definedName name="SHARED_FORMULA_2_4_2_4_5" localSheetId="8">#REF!</definedName>
    <definedName name="SHARED_FORMULA_2_4_2_4_5" localSheetId="10">#REF!</definedName>
    <definedName name="SHARED_FORMULA_2_4_2_4_5" localSheetId="11">#REF!</definedName>
    <definedName name="SHARED_FORMULA_2_4_2_4_5">#REF!</definedName>
    <definedName name="SHARED_FORMULA_2_42_2_42_5" localSheetId="8">#REF!</definedName>
    <definedName name="SHARED_FORMULA_2_42_2_42_5" localSheetId="10">#REF!</definedName>
    <definedName name="SHARED_FORMULA_2_42_2_42_5" localSheetId="11">#REF!</definedName>
    <definedName name="SHARED_FORMULA_2_42_2_42_5">#REF!</definedName>
    <definedName name="SHARED_FORMULA_2_44_2_44_5" localSheetId="8">#REF!</definedName>
    <definedName name="SHARED_FORMULA_2_44_2_44_5" localSheetId="10">#REF!</definedName>
    <definedName name="SHARED_FORMULA_2_44_2_44_5" localSheetId="11">#REF!</definedName>
    <definedName name="SHARED_FORMULA_2_44_2_44_5">#REF!</definedName>
    <definedName name="SHARED_FORMULA_2_47_2_47_5" localSheetId="8">#REF!</definedName>
    <definedName name="SHARED_FORMULA_2_47_2_47_5" localSheetId="10">#REF!</definedName>
    <definedName name="SHARED_FORMULA_2_47_2_47_5" localSheetId="11">#REF!</definedName>
    <definedName name="SHARED_FORMULA_2_47_2_47_5">#REF!</definedName>
    <definedName name="SHARED_FORMULA_2_48_2_48_5" localSheetId="8">#REF!</definedName>
    <definedName name="SHARED_FORMULA_2_48_2_48_5" localSheetId="10">#REF!</definedName>
    <definedName name="SHARED_FORMULA_2_48_2_48_5" localSheetId="11">#REF!</definedName>
    <definedName name="SHARED_FORMULA_2_48_2_48_5">#REF!</definedName>
    <definedName name="SHARED_FORMULA_2_52_2_52_5" localSheetId="8">#REF!</definedName>
    <definedName name="SHARED_FORMULA_2_52_2_52_5" localSheetId="10">#REF!</definedName>
    <definedName name="SHARED_FORMULA_2_52_2_52_5" localSheetId="11">#REF!</definedName>
    <definedName name="SHARED_FORMULA_2_52_2_52_5">#REF!</definedName>
    <definedName name="SHARED_FORMULA_2_57_2_57_5" localSheetId="8">#REF!</definedName>
    <definedName name="SHARED_FORMULA_2_57_2_57_5" localSheetId="10">#REF!</definedName>
    <definedName name="SHARED_FORMULA_2_57_2_57_5" localSheetId="11">#REF!</definedName>
    <definedName name="SHARED_FORMULA_2_57_2_57_5">#REF!</definedName>
    <definedName name="SHARED_FORMULA_2_67_2_67_5" localSheetId="8">#REF!</definedName>
    <definedName name="SHARED_FORMULA_2_67_2_67_5" localSheetId="10">#REF!</definedName>
    <definedName name="SHARED_FORMULA_2_67_2_67_5" localSheetId="11">#REF!</definedName>
    <definedName name="SHARED_FORMULA_2_67_2_67_5">#REF!</definedName>
    <definedName name="SHARED_FORMULA_2_71_2_71_5" localSheetId="8">#REF!+#REF!+#REF!+#REF!</definedName>
    <definedName name="SHARED_FORMULA_2_71_2_71_5" localSheetId="10">#REF!+#REF!+#REF!+#REF!</definedName>
    <definedName name="SHARED_FORMULA_2_71_2_71_5" localSheetId="11">#REF!+#REF!+#REF!+#REF!</definedName>
    <definedName name="SHARED_FORMULA_2_71_2_71_5">#REF!+#REF!+#REF!+#REF!</definedName>
    <definedName name="SHARED_FORMULA_2_72_2_72_5" localSheetId="8">#REF!+#REF!+#REF!+#REF!</definedName>
    <definedName name="SHARED_FORMULA_2_72_2_72_5" localSheetId="10">#REF!+#REF!+#REF!+#REF!</definedName>
    <definedName name="SHARED_FORMULA_2_72_2_72_5" localSheetId="11">#REF!+#REF!+#REF!+#REF!</definedName>
    <definedName name="SHARED_FORMULA_2_72_2_72_5">#REF!+#REF!+#REF!+#REF!</definedName>
    <definedName name="SHARED_FORMULA_2_73_2_73_5" localSheetId="8">#REF!+#REF!+#REF!+#REF!</definedName>
    <definedName name="SHARED_FORMULA_2_73_2_73_5" localSheetId="10">#REF!+#REF!+#REF!+#REF!</definedName>
    <definedName name="SHARED_FORMULA_2_73_2_73_5" localSheetId="11">#REF!+#REF!+#REF!+#REF!</definedName>
    <definedName name="SHARED_FORMULA_2_73_2_73_5">#REF!+#REF!+#REF!+#REF!</definedName>
    <definedName name="SHARED_FORMULA_2_74_2_74_5" localSheetId="8">#REF!+#REF!+#REF!+#REF!</definedName>
    <definedName name="SHARED_FORMULA_2_74_2_74_5" localSheetId="10">#REF!+#REF!+#REF!+#REF!</definedName>
    <definedName name="SHARED_FORMULA_2_74_2_74_5" localSheetId="11">#REF!+#REF!+#REF!+#REF!</definedName>
    <definedName name="SHARED_FORMULA_2_74_2_74_5">#REF!+#REF!+#REF!+#REF!</definedName>
    <definedName name="SHARED_FORMULA_2_75_2_75_5" localSheetId="8">#REF!+#REF!+#REF!+#REF!</definedName>
    <definedName name="SHARED_FORMULA_2_75_2_75_5" localSheetId="10">#REF!+#REF!+#REF!+#REF!</definedName>
    <definedName name="SHARED_FORMULA_2_75_2_75_5" localSheetId="11">#REF!+#REF!+#REF!+#REF!</definedName>
    <definedName name="SHARED_FORMULA_2_75_2_75_5">#REF!+#REF!+#REF!+#REF!</definedName>
    <definedName name="SHARED_FORMULA_2_82_2_82_5" localSheetId="8">#REF!</definedName>
    <definedName name="SHARED_FORMULA_2_82_2_82_5" localSheetId="10">#REF!</definedName>
    <definedName name="SHARED_FORMULA_2_82_2_82_5" localSheetId="11">#REF!</definedName>
    <definedName name="SHARED_FORMULA_2_82_2_82_5">#REF!</definedName>
    <definedName name="SHARED_FORMULA_2_86_2_86_5" localSheetId="8">#REF!+#REF!</definedName>
    <definedName name="SHARED_FORMULA_2_86_2_86_5" localSheetId="10">#REF!+#REF!</definedName>
    <definedName name="SHARED_FORMULA_2_86_2_86_5" localSheetId="11">#REF!+#REF!</definedName>
    <definedName name="SHARED_FORMULA_2_86_2_86_5">#REF!+#REF!</definedName>
    <definedName name="SHARED_FORMULA_2_87_2_87_5" localSheetId="8">#REF!+#REF!</definedName>
    <definedName name="SHARED_FORMULA_2_87_2_87_5" localSheetId="10">#REF!+#REF!</definedName>
    <definedName name="SHARED_FORMULA_2_87_2_87_5" localSheetId="11">#REF!+#REF!</definedName>
    <definedName name="SHARED_FORMULA_2_87_2_87_5">#REF!+#REF!</definedName>
    <definedName name="SHARED_FORMULA_2_88_2_88_5" localSheetId="8">#REF!+#REF!</definedName>
    <definedName name="SHARED_FORMULA_2_88_2_88_5" localSheetId="10">#REF!+#REF!</definedName>
    <definedName name="SHARED_FORMULA_2_88_2_88_5" localSheetId="11">#REF!+#REF!</definedName>
    <definedName name="SHARED_FORMULA_2_88_2_88_5">#REF!+#REF!</definedName>
    <definedName name="SHARED_FORMULA_2_89_2_89_5" localSheetId="8">#REF!+#REF!</definedName>
    <definedName name="SHARED_FORMULA_2_89_2_89_5" localSheetId="10">#REF!+#REF!</definedName>
    <definedName name="SHARED_FORMULA_2_89_2_89_5" localSheetId="11">#REF!+#REF!</definedName>
    <definedName name="SHARED_FORMULA_2_89_2_89_5">#REF!+#REF!</definedName>
    <definedName name="SHARED_FORMULA_2_9_2_9_5" localSheetId="8">#REF!</definedName>
    <definedName name="SHARED_FORMULA_2_9_2_9_5" localSheetId="10">#REF!</definedName>
    <definedName name="SHARED_FORMULA_2_9_2_9_5" localSheetId="11">#REF!</definedName>
    <definedName name="SHARED_FORMULA_2_9_2_9_5">#REF!</definedName>
    <definedName name="SHARED_FORMULA_2_90_2_90_5" localSheetId="8">#REF!+#REF!</definedName>
    <definedName name="SHARED_FORMULA_2_90_2_90_5" localSheetId="10">#REF!+#REF!</definedName>
    <definedName name="SHARED_FORMULA_2_90_2_90_5" localSheetId="11">#REF!+#REF!</definedName>
    <definedName name="SHARED_FORMULA_2_90_2_90_5">#REF!+#REF!</definedName>
    <definedName name="SHARED_FORMULA_2_92_2_92_5" localSheetId="8">#REF!</definedName>
    <definedName name="SHARED_FORMULA_2_92_2_92_5" localSheetId="10">#REF!</definedName>
    <definedName name="SHARED_FORMULA_2_92_2_92_5" localSheetId="11">#REF!</definedName>
    <definedName name="SHARED_FORMULA_2_92_2_92_5">#REF!</definedName>
    <definedName name="SHARED_FORMULA_2_97_2_97_5" localSheetId="8">#REF!</definedName>
    <definedName name="SHARED_FORMULA_2_97_2_97_5" localSheetId="10">#REF!</definedName>
    <definedName name="SHARED_FORMULA_2_97_2_97_5" localSheetId="11">#REF!</definedName>
    <definedName name="SHARED_FORMULA_2_97_2_97_5">#REF!</definedName>
    <definedName name="SHARED_FORMULA_20_10_20_10_5" localSheetId="8">#REF!</definedName>
    <definedName name="SHARED_FORMULA_20_10_20_10_5" localSheetId="10">#REF!</definedName>
    <definedName name="SHARED_FORMULA_20_10_20_10_5" localSheetId="11">#REF!</definedName>
    <definedName name="SHARED_FORMULA_20_10_20_10_5">#REF!</definedName>
    <definedName name="SHARED_FORMULA_20_102_20_102_5" localSheetId="8">#REF!</definedName>
    <definedName name="SHARED_FORMULA_20_102_20_102_5" localSheetId="10">#REF!</definedName>
    <definedName name="SHARED_FORMULA_20_102_20_102_5" localSheetId="11">#REF!</definedName>
    <definedName name="SHARED_FORMULA_20_102_20_102_5">#REF!</definedName>
    <definedName name="SHARED_FORMULA_20_112_20_112_5" localSheetId="8">#REF!</definedName>
    <definedName name="SHARED_FORMULA_20_112_20_112_5" localSheetId="10">#REF!</definedName>
    <definedName name="SHARED_FORMULA_20_112_20_112_5" localSheetId="11">#REF!</definedName>
    <definedName name="SHARED_FORMULA_20_112_20_112_5">#REF!</definedName>
    <definedName name="SHARED_FORMULA_20_117_20_117_5" localSheetId="8">#REF!</definedName>
    <definedName name="SHARED_FORMULA_20_117_20_117_5" localSheetId="10">#REF!</definedName>
    <definedName name="SHARED_FORMULA_20_117_20_117_5" localSheetId="11">#REF!</definedName>
    <definedName name="SHARED_FORMULA_20_117_20_117_5">#REF!</definedName>
    <definedName name="SHARED_FORMULA_20_121_20_121_5" localSheetId="8">#REF!+#REF!+#REF!+#REF!</definedName>
    <definedName name="SHARED_FORMULA_20_121_20_121_5" localSheetId="10">#REF!+#REF!+#REF!+#REF!</definedName>
    <definedName name="SHARED_FORMULA_20_121_20_121_5" localSheetId="11">#REF!+#REF!+#REF!+#REF!</definedName>
    <definedName name="SHARED_FORMULA_20_121_20_121_5">#REF!+#REF!+#REF!+#REF!</definedName>
    <definedName name="SHARED_FORMULA_20_127_20_127_5" localSheetId="8">#REF!</definedName>
    <definedName name="SHARED_FORMULA_20_127_20_127_5" localSheetId="10">#REF!</definedName>
    <definedName name="SHARED_FORMULA_20_127_20_127_5" localSheetId="11">#REF!</definedName>
    <definedName name="SHARED_FORMULA_20_127_20_127_5">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10">#REF!+#REF!+#REF!+#REF!+#REF!+#REF!+#REF!+#REF!+#REF!+#REF!+#REF!+#REF!+#REF!+#REF!+#REF!+#REF!+#REF!+#REF!+#REF!+#REF!+#REF!+#REF!+#REF!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8">#REF!</definedName>
    <definedName name="SHARED_FORMULA_20_14_20_14_5" localSheetId="10">#REF!</definedName>
    <definedName name="SHARED_FORMULA_20_14_20_14_5" localSheetId="11">#REF!</definedName>
    <definedName name="SHARED_FORMULA_20_14_20_14_5">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10">#REF!+#REF!+#REF!+#REF!+#REF!+#REF!+#REF!+#REF!+#REF!+#REF!+#REF!+#REF!+#REF!+#REF!+#REF!+#REF!+#REF!+#REF!+#REF!+#REF!+#REF!+#REF!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8">#REF!</definedName>
    <definedName name="SHARED_FORMULA_20_19_20_19_5" localSheetId="10">#REF!</definedName>
    <definedName name="SHARED_FORMULA_20_19_20_19_5" localSheetId="11">#REF!</definedName>
    <definedName name="SHARED_FORMULA_20_19_20_19_5">#REF!</definedName>
    <definedName name="SHARED_FORMULA_20_22_20_22_5" localSheetId="8">#REF!</definedName>
    <definedName name="SHARED_FORMULA_20_22_20_22_5" localSheetId="10">#REF!</definedName>
    <definedName name="SHARED_FORMULA_20_22_20_22_5" localSheetId="11">#REF!</definedName>
    <definedName name="SHARED_FORMULA_20_22_20_22_5">#REF!</definedName>
    <definedName name="SHARED_FORMULA_20_27_20_27_5" localSheetId="8">#REF!</definedName>
    <definedName name="SHARED_FORMULA_20_27_20_27_5" localSheetId="10">#REF!</definedName>
    <definedName name="SHARED_FORMULA_20_27_20_27_5" localSheetId="11">#REF!</definedName>
    <definedName name="SHARED_FORMULA_20_27_20_27_5">#REF!</definedName>
    <definedName name="SHARED_FORMULA_20_33_20_33_5" localSheetId="8">#REF!</definedName>
    <definedName name="SHARED_FORMULA_20_33_20_33_5" localSheetId="10">#REF!</definedName>
    <definedName name="SHARED_FORMULA_20_33_20_33_5" localSheetId="11">#REF!</definedName>
    <definedName name="SHARED_FORMULA_20_33_20_33_5">#REF!</definedName>
    <definedName name="SHARED_FORMULA_20_37_20_37_5" localSheetId="8">#REF!</definedName>
    <definedName name="SHARED_FORMULA_20_37_20_37_5" localSheetId="10">#REF!</definedName>
    <definedName name="SHARED_FORMULA_20_37_20_37_5" localSheetId="11">#REF!</definedName>
    <definedName name="SHARED_FORMULA_20_37_20_37_5">#REF!</definedName>
    <definedName name="SHARED_FORMULA_20_42_20_42_5" localSheetId="8">#REF!</definedName>
    <definedName name="SHARED_FORMULA_20_42_20_42_5" localSheetId="10">#REF!</definedName>
    <definedName name="SHARED_FORMULA_20_42_20_42_5" localSheetId="11">#REF!</definedName>
    <definedName name="SHARED_FORMULA_20_42_20_42_5">#REF!</definedName>
    <definedName name="SHARED_FORMULA_20_57_20_57_5" localSheetId="8">#REF!</definedName>
    <definedName name="SHARED_FORMULA_20_57_20_57_5" localSheetId="10">#REF!</definedName>
    <definedName name="SHARED_FORMULA_20_57_20_57_5" localSheetId="11">#REF!</definedName>
    <definedName name="SHARED_FORMULA_20_57_20_57_5">#REF!</definedName>
    <definedName name="SHARED_FORMULA_20_63_20_63_5" localSheetId="8">#REF!</definedName>
    <definedName name="SHARED_FORMULA_20_63_20_63_5" localSheetId="10">#REF!</definedName>
    <definedName name="SHARED_FORMULA_20_63_20_63_5" localSheetId="11">#REF!</definedName>
    <definedName name="SHARED_FORMULA_20_63_20_63_5">#REF!</definedName>
    <definedName name="SHARED_FORMULA_20_67_20_67_5" localSheetId="8">#REF!</definedName>
    <definedName name="SHARED_FORMULA_20_67_20_67_5" localSheetId="10">#REF!</definedName>
    <definedName name="SHARED_FORMULA_20_67_20_67_5" localSheetId="11">#REF!</definedName>
    <definedName name="SHARED_FORMULA_20_67_20_67_5">#REF!</definedName>
    <definedName name="SHARED_FORMULA_20_78_20_78_5" localSheetId="8">#REF!</definedName>
    <definedName name="SHARED_FORMULA_20_78_20_78_5" localSheetId="10">#REF!</definedName>
    <definedName name="SHARED_FORMULA_20_78_20_78_5" localSheetId="11">#REF!</definedName>
    <definedName name="SHARED_FORMULA_20_78_20_78_5">#REF!</definedName>
    <definedName name="SHARED_FORMULA_20_82_20_82_5" localSheetId="8">#REF!</definedName>
    <definedName name="SHARED_FORMULA_20_82_20_82_5" localSheetId="10">#REF!</definedName>
    <definedName name="SHARED_FORMULA_20_82_20_82_5" localSheetId="11">#REF!</definedName>
    <definedName name="SHARED_FORMULA_20_82_20_82_5">#REF!</definedName>
    <definedName name="SHARED_FORMULA_20_86_20_86_5" localSheetId="8">#REF!+#REF!</definedName>
    <definedName name="SHARED_FORMULA_20_86_20_86_5" localSheetId="10">#REF!+#REF!</definedName>
    <definedName name="SHARED_FORMULA_20_86_20_86_5" localSheetId="11">#REF!+#REF!</definedName>
    <definedName name="SHARED_FORMULA_20_86_20_86_5">#REF!+#REF!</definedName>
    <definedName name="SHARED_FORMULA_20_92_20_92_5" localSheetId="8">#REF!</definedName>
    <definedName name="SHARED_FORMULA_20_92_20_92_5" localSheetId="10">#REF!</definedName>
    <definedName name="SHARED_FORMULA_20_92_20_92_5" localSheetId="11">#REF!</definedName>
    <definedName name="SHARED_FORMULA_20_92_20_92_5">#REF!</definedName>
    <definedName name="SHARED_FORMULA_23_3_23_3_5" localSheetId="8">SUM(#REF!)-#REF!</definedName>
    <definedName name="SHARED_FORMULA_23_3_23_3_5" localSheetId="10">SUM(#REF!)-#REF!</definedName>
    <definedName name="SHARED_FORMULA_23_3_23_3_5" localSheetId="11">SUM(#REF!)-#REF!</definedName>
    <definedName name="SHARED_FORMULA_23_3_23_3_5">SUM(#REF!)-#REF!</definedName>
    <definedName name="SHARED_FORMULA_23_32_23_32_5" localSheetId="8">SUM(#REF!)-#REF!</definedName>
    <definedName name="SHARED_FORMULA_23_32_23_32_5" localSheetId="10">SUM(#REF!)-#REF!</definedName>
    <definedName name="SHARED_FORMULA_23_32_23_32_5" localSheetId="11">SUM(#REF!)-#REF!</definedName>
    <definedName name="SHARED_FORMULA_23_32_23_32_5">SUM(#REF!)-#REF!</definedName>
    <definedName name="SHARED_FORMULA_23_64_23_64_5" localSheetId="8">SUM(#REF!)-#REF!</definedName>
    <definedName name="SHARED_FORMULA_23_64_23_64_5" localSheetId="10">SUM(#REF!)-#REF!</definedName>
    <definedName name="SHARED_FORMULA_23_64_23_64_5" localSheetId="11">SUM(#REF!)-#REF!</definedName>
    <definedName name="SHARED_FORMULA_23_64_23_64_5">SUM(#REF!)-#REF!</definedName>
    <definedName name="SHARED_FORMULA_23_96_23_96_5" localSheetId="8">SUM(#REF!)-#REF!</definedName>
    <definedName name="SHARED_FORMULA_23_96_23_96_5" localSheetId="10">SUM(#REF!)-#REF!</definedName>
    <definedName name="SHARED_FORMULA_23_96_23_96_5" localSheetId="11">SUM(#REF!)-#REF!</definedName>
    <definedName name="SHARED_FORMULA_23_96_23_96_5">SUM(#REF!)-#REF!</definedName>
    <definedName name="SHARED_FORMULA_25_131_25_131_5" localSheetId="8">SUM(#REF!)-#REF!</definedName>
    <definedName name="SHARED_FORMULA_25_131_25_131_5" localSheetId="10">SUM(#REF!)-#REF!</definedName>
    <definedName name="SHARED_FORMULA_25_131_25_131_5" localSheetId="11">SUM(#REF!)-#REF!</definedName>
    <definedName name="SHARED_FORMULA_25_131_25_131_5">SUM(#REF!)-#REF!</definedName>
    <definedName name="SHARED_FORMULA_3_10_3_10_3" localSheetId="8">SUM(#REF!)</definedName>
    <definedName name="SHARED_FORMULA_3_10_3_10_3" localSheetId="10">SUM(#REF!)</definedName>
    <definedName name="SHARED_FORMULA_3_10_3_10_3" localSheetId="11">SUM(#REF!)</definedName>
    <definedName name="SHARED_FORMULA_3_10_3_10_3">SUM(#REF!)</definedName>
    <definedName name="SHARED_FORMULA_3_308_3_308_4" localSheetId="8">SUM(#REF!+#REF!+#REF!)</definedName>
    <definedName name="SHARED_FORMULA_3_308_3_308_4" localSheetId="10">SUM(#REF!+#REF!+#REF!)</definedName>
    <definedName name="SHARED_FORMULA_3_308_3_308_4" localSheetId="11">SUM(#REF!+#REF!+#REF!)</definedName>
    <definedName name="SHARED_FORMULA_3_308_3_308_4">SUM(#REF!+#REF!+#REF!)</definedName>
    <definedName name="SHARED_FORMULA_3_309_3_309_4" localSheetId="8">#REF!+#REF!+#REF!</definedName>
    <definedName name="SHARED_FORMULA_3_309_3_309_4" localSheetId="10">#REF!+#REF!+#REF!</definedName>
    <definedName name="SHARED_FORMULA_3_309_3_309_4" localSheetId="11">#REF!+#REF!+#REF!</definedName>
    <definedName name="SHARED_FORMULA_3_309_3_309_4">#REF!+#REF!+#REF!</definedName>
    <definedName name="SHARED_FORMULA_3_312_3_312_4" localSheetId="8">SUM(#REF!+#REF!+#REF!)</definedName>
    <definedName name="SHARED_FORMULA_3_312_3_312_4" localSheetId="10">SUM(#REF!+#REF!+#REF!)</definedName>
    <definedName name="SHARED_FORMULA_3_312_3_312_4" localSheetId="11">SUM(#REF!+#REF!+#REF!)</definedName>
    <definedName name="SHARED_FORMULA_3_312_3_312_4">SUM(#REF!+#REF!+#REF!)</definedName>
    <definedName name="SHARED_FORMULA_3_32_3_32_2" localSheetId="8">SUM(#REF!)</definedName>
    <definedName name="SHARED_FORMULA_3_32_3_32_2" localSheetId="10">SUM(#REF!)</definedName>
    <definedName name="SHARED_FORMULA_3_32_3_32_2" localSheetId="11">SUM(#REF!)</definedName>
    <definedName name="SHARED_FORMULA_3_32_3_32_2">SUM(#REF!)</definedName>
    <definedName name="SHARED_FORMULA_3_320_3_320_4" localSheetId="8">SUM(#REF!+#REF!+#REF!+#REF!)</definedName>
    <definedName name="SHARED_FORMULA_3_320_3_320_4" localSheetId="10">SUM(#REF!+#REF!+#REF!+#REF!)</definedName>
    <definedName name="SHARED_FORMULA_3_320_3_320_4" localSheetId="11">SUM(#REF!+#REF!+#REF!+#REF!)</definedName>
    <definedName name="SHARED_FORMULA_3_320_3_320_4">SUM(#REF!+#REF!+#REF!+#REF!)</definedName>
    <definedName name="SHARED_FORMULA_3_321_3_321_4" localSheetId="8">SUM(#REF!+#REF!+#REF!+#REF!)</definedName>
    <definedName name="SHARED_FORMULA_3_321_3_321_4" localSheetId="10">SUM(#REF!+#REF!+#REF!+#REF!)</definedName>
    <definedName name="SHARED_FORMULA_3_321_3_321_4" localSheetId="11">SUM(#REF!+#REF!+#REF!+#REF!)</definedName>
    <definedName name="SHARED_FORMULA_3_321_3_321_4">SUM(#REF!+#REF!+#REF!+#REF!)</definedName>
    <definedName name="SHARED_FORMULA_3_37_3_37_2" localSheetId="8">SUM(#REF!)</definedName>
    <definedName name="SHARED_FORMULA_3_37_3_37_2" localSheetId="10">SUM(#REF!)</definedName>
    <definedName name="SHARED_FORMULA_3_37_3_37_2" localSheetId="11">SUM(#REF!)</definedName>
    <definedName name="SHARED_FORMULA_3_37_3_37_2">SUM(#REF!)</definedName>
    <definedName name="SHARED_FORMULA_3_47_3_47_2" localSheetId="8">SUM(#REF!)</definedName>
    <definedName name="SHARED_FORMULA_3_47_3_47_2" localSheetId="10">SUM(#REF!)</definedName>
    <definedName name="SHARED_FORMULA_3_47_3_47_2" localSheetId="11">SUM(#REF!)</definedName>
    <definedName name="SHARED_FORMULA_3_47_3_47_2">SUM(#REF!)</definedName>
    <definedName name="SHARED_FORMULA_3_59_3_59_5" localSheetId="8">#REF!</definedName>
    <definedName name="SHARED_FORMULA_3_59_3_59_5" localSheetId="10">#REF!</definedName>
    <definedName name="SHARED_FORMULA_3_59_3_59_5" localSheetId="11">#REF!</definedName>
    <definedName name="SHARED_FORMULA_3_59_3_59_5">#REF!</definedName>
    <definedName name="SHARED_FORMULA_3_77_3_77_5" localSheetId="8">#REF!</definedName>
    <definedName name="SHARED_FORMULA_3_77_3_77_5" localSheetId="10">#REF!</definedName>
    <definedName name="SHARED_FORMULA_3_77_3_77_5" localSheetId="11">#REF!</definedName>
    <definedName name="SHARED_FORMULA_3_77_3_77_5">#REF!</definedName>
    <definedName name="SHARED_FORMULA_3_94_3_94_5" localSheetId="8">#REF!</definedName>
    <definedName name="SHARED_FORMULA_3_94_3_94_5" localSheetId="10">#REF!</definedName>
    <definedName name="SHARED_FORMULA_3_94_3_94_5" localSheetId="11">#REF!</definedName>
    <definedName name="SHARED_FORMULA_3_94_3_94_5">#REF!</definedName>
    <definedName name="SHARED_FORMULA_4_133_4_133_5" localSheetId="8">SUM(#REF!)-#REF!-#REF!-#REF!</definedName>
    <definedName name="SHARED_FORMULA_4_133_4_133_5" localSheetId="10">SUM(#REF!)-#REF!-#REF!-#REF!</definedName>
    <definedName name="SHARED_FORMULA_4_133_4_133_5" localSheetId="11">SUM(#REF!)-#REF!-#REF!-#REF!</definedName>
    <definedName name="SHARED_FORMULA_4_133_4_133_5">SUM(#REF!)-#REF!-#REF!-#REF!</definedName>
    <definedName name="SHARED_FORMULA_4_136_4_136_4" localSheetId="8">SUM(#REF!)</definedName>
    <definedName name="SHARED_FORMULA_4_136_4_136_4" localSheetId="10">SUM(#REF!)</definedName>
    <definedName name="SHARED_FORMULA_4_136_4_136_4" localSheetId="11">SUM(#REF!)</definedName>
    <definedName name="SHARED_FORMULA_4_136_4_136_4">SUM(#REF!)</definedName>
    <definedName name="SHARED_FORMULA_4_200_4_200_4" localSheetId="8">SUM(#REF!)</definedName>
    <definedName name="SHARED_FORMULA_4_200_4_200_4" localSheetId="10">SUM(#REF!)</definedName>
    <definedName name="SHARED_FORMULA_4_200_4_200_4" localSheetId="11">SUM(#REF!)</definedName>
    <definedName name="SHARED_FORMULA_4_200_4_200_4">SUM(#REF!)</definedName>
    <definedName name="SHARED_FORMULA_4_264_4_264_4" localSheetId="8">SUM(#REF!)</definedName>
    <definedName name="SHARED_FORMULA_4_264_4_264_4" localSheetId="10">SUM(#REF!)</definedName>
    <definedName name="SHARED_FORMULA_4_264_4_264_4" localSheetId="11">SUM(#REF!)</definedName>
    <definedName name="SHARED_FORMULA_4_264_4_264_4">SUM(#REF!)</definedName>
    <definedName name="SHARED_FORMULA_4_322_4_322_4" localSheetId="8">SUM(#REF!,#REF!,#REF!)</definedName>
    <definedName name="SHARED_FORMULA_4_322_4_322_4" localSheetId="10">SUM(#REF!,#REF!,#REF!)</definedName>
    <definedName name="SHARED_FORMULA_4_322_4_322_4" localSheetId="11">SUM(#REF!,#REF!,#REF!)</definedName>
    <definedName name="SHARED_FORMULA_4_322_4_322_4">SUM(#REF!,#REF!,#REF!)</definedName>
    <definedName name="SHARED_FORMULA_4_43_4_43_3" localSheetId="8">SUM(#REF!,#REF!,#REF!,#REF!,#REF!,#REF!,#REF!,#REF!,#REF!,#REF!,#REF!,#REF!,#REF!,#REF!)</definedName>
    <definedName name="SHARED_FORMULA_4_43_4_43_3" localSheetId="10">SUM(#REF!,#REF!,#REF!,#REF!,#REF!,#REF!,#REF!,#REF!,#REF!,#REF!,#REF!,#REF!,#REF!,#REF!)</definedName>
    <definedName name="SHARED_FORMULA_4_43_4_43_3" localSheetId="11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10">SUM(#REF!,#REF!,#REF!,#REF!,#REF!,#REF!,#REF!,#REF!,#REF!,#REF!,#REF!)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8">SUM(#REF!)</definedName>
    <definedName name="SHARED_FORMULA_4_73_4_73_4" localSheetId="10">SUM(#REF!)</definedName>
    <definedName name="SHARED_FORMULA_4_73_4_73_4" localSheetId="11">SUM(#REF!)</definedName>
    <definedName name="SHARED_FORMULA_4_73_4_73_4">SUM(#REF!)</definedName>
    <definedName name="SHARED_FORMULA_4_8_4_8_4" localSheetId="8">SUM(#REF!)</definedName>
    <definedName name="SHARED_FORMULA_4_8_4_8_4" localSheetId="10">SUM(#REF!)</definedName>
    <definedName name="SHARED_FORMULA_4_8_4_8_4" localSheetId="11">SUM(#REF!)</definedName>
    <definedName name="SHARED_FORMULA_4_8_4_8_4">SUM(#REF!)</definedName>
    <definedName name="SHARED_FORMULA_4_9_4_9_3" localSheetId="8">SUM(#REF!)</definedName>
    <definedName name="SHARED_FORMULA_4_9_4_9_3" localSheetId="10">SUM(#REF!)</definedName>
    <definedName name="SHARED_FORMULA_4_9_4_9_3" localSheetId="11">SUM(#REF!)</definedName>
    <definedName name="SHARED_FORMULA_4_9_4_9_3">SUM(#REF!)</definedName>
    <definedName name="SHARED_FORMULA_5_108_5_108_5" localSheetId="8">#REF!</definedName>
    <definedName name="SHARED_FORMULA_5_108_5_108_5" localSheetId="10">#REF!</definedName>
    <definedName name="SHARED_FORMULA_5_108_5_108_5" localSheetId="11">#REF!</definedName>
    <definedName name="SHARED_FORMULA_5_108_5_108_5">#REF!</definedName>
    <definedName name="SHARED_FORMULA_5_109_5_109_5" localSheetId="8">#REF!</definedName>
    <definedName name="SHARED_FORMULA_5_109_5_109_5" localSheetId="10">#REF!</definedName>
    <definedName name="SHARED_FORMULA_5_109_5_109_5" localSheetId="11">#REF!</definedName>
    <definedName name="SHARED_FORMULA_5_109_5_109_5">#REF!</definedName>
    <definedName name="SHARED_FORMULA_5_129_5_129_5" localSheetId="8">#REF!</definedName>
    <definedName name="SHARED_FORMULA_5_129_5_129_5" localSheetId="10">#REF!</definedName>
    <definedName name="SHARED_FORMULA_5_129_5_129_5" localSheetId="11">#REF!</definedName>
    <definedName name="SHARED_FORMULA_5_129_5_129_5">#REF!</definedName>
    <definedName name="SHARED_FORMULA_5_19_5_19_5" localSheetId="8">#REF!</definedName>
    <definedName name="SHARED_FORMULA_5_19_5_19_5" localSheetId="10">#REF!</definedName>
    <definedName name="SHARED_FORMULA_5_19_5_19_5" localSheetId="11">#REF!</definedName>
    <definedName name="SHARED_FORMULA_5_19_5_19_5">#REF!</definedName>
    <definedName name="SHARED_FORMULA_5_28_5_28_5" localSheetId="8">#REF!</definedName>
    <definedName name="SHARED_FORMULA_5_28_5_28_5" localSheetId="10">#REF!</definedName>
    <definedName name="SHARED_FORMULA_5_28_5_28_5" localSheetId="11">#REF!</definedName>
    <definedName name="SHARED_FORMULA_5_28_5_28_5">#REF!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0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0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8">#REF!</definedName>
    <definedName name="SHARED_FORMULA_5_35_5_35_5" localSheetId="10">#REF!</definedName>
    <definedName name="SHARED_FORMULA_5_35_5_35_5" localSheetId="11">#REF!</definedName>
    <definedName name="SHARED_FORMULA_5_35_5_35_5">#REF!</definedName>
    <definedName name="SHARED_FORMULA_5_69_5_69_5" localSheetId="8">#REF!</definedName>
    <definedName name="SHARED_FORMULA_5_69_5_69_5" localSheetId="10">#REF!</definedName>
    <definedName name="SHARED_FORMULA_5_69_5_69_5" localSheetId="11">#REF!</definedName>
    <definedName name="SHARED_FORMULA_5_69_5_69_5">#REF!</definedName>
    <definedName name="SHARED_FORMULA_5_7_5_7_5" localSheetId="8">#REF!</definedName>
    <definedName name="SHARED_FORMULA_5_7_5_7_5" localSheetId="10">#REF!</definedName>
    <definedName name="SHARED_FORMULA_5_7_5_7_5" localSheetId="11">#REF!</definedName>
    <definedName name="SHARED_FORMULA_5_7_5_7_5">#REF!</definedName>
    <definedName name="SHARED_FORMULA_6_5_6_5_0" localSheetId="8">#REF!/#REF!*100</definedName>
    <definedName name="SHARED_FORMULA_6_5_6_5_0" localSheetId="10">#REF!/#REF!*100</definedName>
    <definedName name="SHARED_FORMULA_6_5_6_5_0" localSheetId="11">#REF!/#REF!*100</definedName>
    <definedName name="SHARED_FORMULA_6_5_6_5_0">#REF!/#REF!*100</definedName>
    <definedName name="SHARED_FORMULA_7_62_7_62_5" localSheetId="8">#REF!</definedName>
    <definedName name="SHARED_FORMULA_7_62_7_62_5" localSheetId="10">#REF!</definedName>
    <definedName name="SHARED_FORMULA_7_62_7_62_5" localSheetId="11">#REF!</definedName>
    <definedName name="SHARED_FORMULA_7_62_7_62_5">#REF!</definedName>
    <definedName name="SHARED_FORMULA_7_82_7_82_5" localSheetId="8">#REF!</definedName>
    <definedName name="SHARED_FORMULA_7_82_7_82_5" localSheetId="10">#REF!</definedName>
    <definedName name="SHARED_FORMULA_7_82_7_82_5" localSheetId="11">#REF!</definedName>
    <definedName name="SHARED_FORMULA_7_82_7_82_5">#REF!</definedName>
    <definedName name="SHARED_FORMULA_7_93_7_93_5" localSheetId="8">#REF!</definedName>
    <definedName name="SHARED_FORMULA_7_93_7_93_5" localSheetId="10">#REF!</definedName>
    <definedName name="SHARED_FORMULA_7_93_7_93_5" localSheetId="11">#REF!</definedName>
    <definedName name="SHARED_FORMULA_7_93_7_93_5">#REF!</definedName>
    <definedName name="SHARED_FORMULA_8_48_8_48_5" localSheetId="8">#REF!</definedName>
    <definedName name="SHARED_FORMULA_8_48_8_48_5" localSheetId="10">#REF!</definedName>
    <definedName name="SHARED_FORMULA_8_48_8_48_5" localSheetId="11">#REF!</definedName>
    <definedName name="SHARED_FORMULA_8_48_8_48_5">#REF!</definedName>
    <definedName name="SHARED_FORMULA_9_112_9_112_5" localSheetId="8">#REF!</definedName>
    <definedName name="SHARED_FORMULA_9_112_9_112_5" localSheetId="10">#REF!</definedName>
    <definedName name="SHARED_FORMULA_9_112_9_112_5" localSheetId="11">#REF!</definedName>
    <definedName name="SHARED_FORMULA_9_112_9_112_5">#REF!</definedName>
    <definedName name="SHARED_FORMULA_9_118_9_118_5" localSheetId="8">#REF!</definedName>
    <definedName name="SHARED_FORMULA_9_118_9_118_5" localSheetId="10">#REF!</definedName>
    <definedName name="SHARED_FORMULA_9_118_9_118_5" localSheetId="11">#REF!</definedName>
    <definedName name="SHARED_FORMULA_9_118_9_118_5">#REF!</definedName>
    <definedName name="SHARED_FORMULA_9_44_9_44_5" localSheetId="8">#REF!</definedName>
    <definedName name="SHARED_FORMULA_9_44_9_44_5" localSheetId="10">#REF!</definedName>
    <definedName name="SHARED_FORMULA_9_44_9_44_5" localSheetId="11">#REF!</definedName>
    <definedName name="SHARED_FORMULA_9_44_9_44_5">#REF!</definedName>
    <definedName name="SHARED_FORMULA_9_53_9_53_5" localSheetId="8">#REF!</definedName>
    <definedName name="SHARED_FORMULA_9_53_9_53_5" localSheetId="10">#REF!</definedName>
    <definedName name="SHARED_FORMULA_9_53_9_53_5" localSheetId="11">#REF!</definedName>
    <definedName name="SHARED_FORMULA_9_53_9_53_5">#REF!</definedName>
    <definedName name="SHARED_FORMULA_9_77_9_77_5" localSheetId="8">#REF!</definedName>
    <definedName name="SHARED_FORMULA_9_77_9_77_5" localSheetId="10">#REF!</definedName>
    <definedName name="SHARED_FORMULA_9_77_9_77_5" localSheetId="11">#REF!</definedName>
    <definedName name="SHARED_FORMULA_9_77_9_77_5">#REF!</definedName>
    <definedName name="SHARED_FORMULA_9_98_9_98_5" localSheetId="8">#REF!</definedName>
    <definedName name="SHARED_FORMULA_9_98_9_98_5" localSheetId="10">#REF!</definedName>
    <definedName name="SHARED_FORMULA_9_98_9_98_5" localSheetId="11">#REF!</definedName>
    <definedName name="SHARED_FORMULA_9_98_9_98_5">#REF!</definedName>
    <definedName name="x" localSheetId="8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<sst xmlns="http://schemas.openxmlformats.org/spreadsheetml/2006/main" count="3543" uniqueCount="1345">
  <si>
    <t>Működési támogatások, kiegészítések</t>
  </si>
  <si>
    <t>Általános működés és ágazatai feladatok támogatása</t>
  </si>
  <si>
    <t>Egyes szociális feladatok támogatás</t>
  </si>
  <si>
    <t>Egyéb működési bevételek</t>
  </si>
  <si>
    <t>Támogatás értékű működési bevételek</t>
  </si>
  <si>
    <t>Működési célú pénzeszközátvétel</t>
  </si>
  <si>
    <t>Felhalmozási és tőke jellegű bevétel</t>
  </si>
  <si>
    <t>Tárgyi eszköz értékesítés</t>
  </si>
  <si>
    <t>Földterület értékesítés</t>
  </si>
  <si>
    <t>Egyéb ingatlanértékesítés</t>
  </si>
  <si>
    <t>Üzemeltetés, bérbeadás bevétele</t>
  </si>
  <si>
    <t>Lakásértékesítés (részletek)</t>
  </si>
  <si>
    <t>Felhalmozási kamat bevétel</t>
  </si>
  <si>
    <t>Felhalmozási támogatások</t>
  </si>
  <si>
    <t>Fejlesztési célú támogatások - központosított támogatások</t>
  </si>
  <si>
    <t>Egyéb felhalmozási bevételek</t>
  </si>
  <si>
    <t xml:space="preserve"> - Támogatás értékű felhalmozási bevételek</t>
  </si>
  <si>
    <t xml:space="preserve"> - Tartalékolt felhalmozási kiadásokhoz kapcsolódó támogatás értékű felhalmozási bevétel</t>
  </si>
  <si>
    <t xml:space="preserve"> - Felhalmozási célú pénzeszközátvétel</t>
  </si>
  <si>
    <t>Támogatási kölcsönök visszatérülése, igénybevétele</t>
  </si>
  <si>
    <t>Költségvetési szervek támogatása (intézményfinanszírozás)</t>
  </si>
  <si>
    <t>Előző évi pénzmaradvány</t>
  </si>
  <si>
    <t>Hitelfelvétel</t>
  </si>
  <si>
    <t>BEVÉTELEK MINDÖSSZESEN</t>
  </si>
  <si>
    <t xml:space="preserve">Tata Város Önkormányzata és az általa irányított költségvetési szervek 2013. évi költségvetési kiadásai </t>
  </si>
  <si>
    <t>( kiemelt előirányzatok szerinti részletezésben ) E Ft-ban</t>
  </si>
  <si>
    <t>Kiadások</t>
  </si>
  <si>
    <t xml:space="preserve">Kuny Domokos  Múzeum </t>
  </si>
  <si>
    <t>Személyi juttatások</t>
  </si>
  <si>
    <t xml:space="preserve">Felhalmozási célú árfolyamnyereség </t>
  </si>
  <si>
    <t>Előző évi kiegészítések, visszatérülések</t>
  </si>
  <si>
    <t>Kiegyenlítő, függő, átfutó bevételek</t>
  </si>
  <si>
    <t>Kiegyenlítő, függő, átfutó kiadások</t>
  </si>
  <si>
    <t>Mód.(III.13.)</t>
  </si>
  <si>
    <t>Pénzkészlet egyeztetés:</t>
  </si>
  <si>
    <t>E Ft</t>
  </si>
  <si>
    <t>Nyitó pénzkészlet</t>
  </si>
  <si>
    <t>+ bevételek</t>
  </si>
  <si>
    <t>-  kiadások</t>
  </si>
  <si>
    <t>- pénzmaradvány</t>
  </si>
  <si>
    <t>Záró pénzkészlet</t>
  </si>
  <si>
    <t>Munkaadót terhelő járulékok és szociális hozzájárulási adó</t>
  </si>
  <si>
    <t>Dologi és dologi jellegű kiadások</t>
  </si>
  <si>
    <t>Ebből kamatkiadások</t>
  </si>
  <si>
    <t>Egyéb működési kiadás</t>
  </si>
  <si>
    <t>Támogatás értékű működési kiadások és működési célú pénzeszköz átadás</t>
  </si>
  <si>
    <t>Önkormányzat által folyósított társadalom- és szociálpolitikai juttatások</t>
  </si>
  <si>
    <t>Ellátottak pénzbeli juttatása</t>
  </si>
  <si>
    <t>Beruházás ( ÁFA-val )</t>
  </si>
  <si>
    <t>Felújítás ( ÁFA-val )</t>
  </si>
  <si>
    <t>Felhalmozási támogatás értékű kiadás és pénzeszközátadás</t>
  </si>
  <si>
    <t>Általános tartalék</t>
  </si>
  <si>
    <t>Általános működési tartalék</t>
  </si>
  <si>
    <t>Működési céltartalék</t>
  </si>
  <si>
    <t>Általános felhalmozási tartalék</t>
  </si>
  <si>
    <t>Tartalékolt felhalmozási kiadások</t>
  </si>
  <si>
    <t>Tartalékolt beruházási kiadások</t>
  </si>
  <si>
    <t>Tartalékolt felújítási kiadások</t>
  </si>
  <si>
    <t>Tartalékolt támogatás értékű felhalmozási kiadások és felhalmozási célú pénzeszköz átadás</t>
  </si>
  <si>
    <t>Támogatási kölcsönök</t>
  </si>
  <si>
    <t>Kölcsön nyújtása lakáscélra:</t>
  </si>
  <si>
    <t xml:space="preserve"> - lakossági</t>
  </si>
  <si>
    <t xml:space="preserve"> - munkáltatói</t>
  </si>
  <si>
    <t>Egyéb kölcsön</t>
  </si>
  <si>
    <t xml:space="preserve"> - Víz-Zene-Virág Fesztivál Egyesületnek</t>
  </si>
  <si>
    <t xml:space="preserve"> - Tatai Fényes-fürdő Kft.-nek 508/2012. (XII.20.) Tata Kt. határozat</t>
  </si>
  <si>
    <t>Garancia és kezességvállalás</t>
  </si>
  <si>
    <t>Működési (Tatai Távhőszolgáltató Kft-nek)</t>
  </si>
  <si>
    <t>Felhalmozási (Tata-Tóparti Viziközmű Társulatnak)</t>
  </si>
  <si>
    <t>Hitel- és kötvénytörlesztés (fejlesztési célú)</t>
  </si>
  <si>
    <t>Hiteltörlesztés</t>
  </si>
  <si>
    <t>Kötvénytörlesztés</t>
  </si>
  <si>
    <t>Tatai Közös Önkormányzati Hivatalnak bankszámla egyenleg és átfutó kiadás rendezése</t>
  </si>
  <si>
    <t>Közterület-felügyelettől bankszámla egyenleg és átfutó kiadás rendezése</t>
  </si>
  <si>
    <t>Mód.(III.26.)</t>
  </si>
  <si>
    <t>Lehívható központi támogatás  Mód. (III.26.)</t>
  </si>
  <si>
    <r>
      <t xml:space="preserve">2014. márciusi módosított előirányzat      </t>
    </r>
    <r>
      <rPr>
        <b/>
        <sz val="12"/>
        <rFont val="Times New Roman CE"/>
        <family val="0"/>
      </rPr>
      <t xml:space="preserve"> E Ft-ban</t>
    </r>
  </si>
  <si>
    <t>Költségvetési szerveinknek nyújtott támogatás (intézményfinanszírozás)</t>
  </si>
  <si>
    <t>KIADÁSOK MINDÖSSZESEN</t>
  </si>
  <si>
    <t xml:space="preserve"> Tata Város Önkormányzatának 2013. évi közgazdasági mérlege (E Ft-ban)</t>
  </si>
  <si>
    <t>Bevételi előirányzat</t>
  </si>
  <si>
    <t>Kiadási előirányzat</t>
  </si>
  <si>
    <t>Decemberi módosított előirányzat  E Ft</t>
  </si>
  <si>
    <t>Hatósági szolgáltatási díj és intézményi működési bevétel</t>
  </si>
  <si>
    <t>Önkormányzatok sajátos működési bevételi</t>
  </si>
  <si>
    <t>Munkaadókat terhelő járulékok</t>
  </si>
  <si>
    <t>Átengedett központi adók (gépjárműadó, termőföld bérbeadásából származó SZJA)</t>
  </si>
  <si>
    <t>Dologi és egyéb folyó kiadások</t>
  </si>
  <si>
    <t>Bírságok</t>
  </si>
  <si>
    <t>Egyéb működési kiadások</t>
  </si>
  <si>
    <t>Bérleti díjak</t>
  </si>
  <si>
    <t>Támogatás értékű működési kiadások és működési célú pénzeszközátadás</t>
  </si>
  <si>
    <t>Működési támogatások</t>
  </si>
  <si>
    <t>Beruházási kiadások</t>
  </si>
  <si>
    <t>Egyes szociális feladatok támogatása</t>
  </si>
  <si>
    <t>Felújítási kiadások</t>
  </si>
  <si>
    <t>Egyéb, működési bevételek</t>
  </si>
  <si>
    <t>Támogatás értékű felhalmozási kiadások és felhalmozási célú pénzeszközátadások</t>
  </si>
  <si>
    <t>Működési tartalék</t>
  </si>
  <si>
    <t>Felhalmozási és tőke jellegű bevételek</t>
  </si>
  <si>
    <t>Föld értékesítés</t>
  </si>
  <si>
    <t>Egyéb ingatlan értékesítés</t>
  </si>
  <si>
    <t>Felhalmozási tartalék</t>
  </si>
  <si>
    <t>Lakásértékesítés</t>
  </si>
  <si>
    <t>Támogatási kölcsönök nyújtása, törlesztése</t>
  </si>
  <si>
    <t>Lakáscélra</t>
  </si>
  <si>
    <t xml:space="preserve"> -- Ebből NFM EU Önerő-támogatás</t>
  </si>
  <si>
    <t xml:space="preserve"> - Felhalmozási célú pénzeszköz átvétel</t>
  </si>
  <si>
    <t>Költségvetési szerveknek nyújtott támogatás (intézményfinanszírozás)</t>
  </si>
  <si>
    <t>Költségvetési bevételek összesen:</t>
  </si>
  <si>
    <t>Költségvetési kiadások összesen:</t>
  </si>
  <si>
    <t xml:space="preserve">Költségvetési egyenleg: </t>
  </si>
  <si>
    <t>Hiány és a finanszírozási kiadások fedezetének finanszírozása:</t>
  </si>
  <si>
    <t>Hiteltörlesztés - hosszú lejáratú</t>
  </si>
  <si>
    <t xml:space="preserve"> - Belső finanszírozás, pénzmaradvány </t>
  </si>
  <si>
    <t xml:space="preserve"> - Külső finanszírozás hitel felvétel </t>
  </si>
  <si>
    <t>Finanszírozási bevételek összesen:</t>
  </si>
  <si>
    <t>Finanszírozási kiadások összesen:</t>
  </si>
  <si>
    <t>2013. évi működési célú bevételek és kiadások mérlege (E Ft-ban)</t>
  </si>
  <si>
    <t>Személyi juttatás</t>
  </si>
  <si>
    <t>Működési bevétel</t>
  </si>
  <si>
    <t>Járulékok</t>
  </si>
  <si>
    <t>Dologi kiadás (beruházási hitelkamat és ÁFA nélkül)</t>
  </si>
  <si>
    <t>Működési támogatás</t>
  </si>
  <si>
    <t>Pénzeszköz átadás, támogatás</t>
  </si>
  <si>
    <t>Szociális támogatás műk.</t>
  </si>
  <si>
    <t>Kölcsön visszatérülés, kölcsön bevétel</t>
  </si>
  <si>
    <t xml:space="preserve"> - Tatai Fényes-fürdő Kft.</t>
  </si>
  <si>
    <t xml:space="preserve"> - Tatai Városgazda Nonprofit Kft.(Tatai Városfejlesztő Kft.)</t>
  </si>
  <si>
    <t xml:space="preserve"> - Által-ér Szövetség</t>
  </si>
  <si>
    <t xml:space="preserve"> - Központi ügyeletre</t>
  </si>
  <si>
    <t xml:space="preserve"> - Tatai Távhő Szolgáltató Kft.</t>
  </si>
  <si>
    <t xml:space="preserve"> - Bláthy O. Szakközépiskola, Szakiskola és Kollégium</t>
  </si>
  <si>
    <t xml:space="preserve"> - Víz-Zene-Virág Egyesület</t>
  </si>
  <si>
    <t xml:space="preserve"> - Tatai Televízió Közalapítvány</t>
  </si>
  <si>
    <t xml:space="preserve">Garancia és kezességvállalás </t>
  </si>
  <si>
    <t xml:space="preserve"> - Tatai Távhő Kft.-nek</t>
  </si>
  <si>
    <t>Kölcsönnyújtás, kölcsönvisszafizetés</t>
  </si>
  <si>
    <t xml:space="preserve"> - Víz-Zene-Virág Fesztivál Egyesület</t>
  </si>
  <si>
    <t>Egyenleg: -93 891</t>
  </si>
  <si>
    <t xml:space="preserve">Belső forrás, pénzmaradvány </t>
  </si>
  <si>
    <t>Mindösszesen:</t>
  </si>
  <si>
    <t>2013. évi fejlesztési célú bevételek és kiadások mérlege (E Ft-ban)</t>
  </si>
  <si>
    <t>Beruházás</t>
  </si>
  <si>
    <t>ÁFA bevétel</t>
  </si>
  <si>
    <t>Felújítás</t>
  </si>
  <si>
    <t>Felhalmozási támogatás</t>
  </si>
  <si>
    <t>Támogatás értékű felhalmozási kiadás és pénzeszközátadás</t>
  </si>
  <si>
    <t xml:space="preserve"> - Ebből NFM EU Önerő-támogatás</t>
  </si>
  <si>
    <t>Kölcsön visszatérülések</t>
  </si>
  <si>
    <t>Kölcsönnyújtás</t>
  </si>
  <si>
    <t xml:space="preserve"> - Lakás célú</t>
  </si>
  <si>
    <t xml:space="preserve"> - lakáscélú</t>
  </si>
  <si>
    <t xml:space="preserve"> - Munkáltatói</t>
  </si>
  <si>
    <t>Adóbevételekből átcsoportosítás</t>
  </si>
  <si>
    <t>Fizetendő ÁFA</t>
  </si>
  <si>
    <t>Kötvény- és hitel kamat</t>
  </si>
  <si>
    <t xml:space="preserve"> - Tata-Tóparti Viziközmű Társulat hitele és kamat</t>
  </si>
  <si>
    <t>Egyenleg: - 999 157</t>
  </si>
  <si>
    <t>Hiány és a finanszírozási kiadások fedezetének finansz.</t>
  </si>
  <si>
    <t>Belső finanszírozás, pénzmaradvány</t>
  </si>
  <si>
    <t>Tatati Közös Önkormányzati Hivatal összesen:</t>
  </si>
  <si>
    <r>
      <t xml:space="preserve">Tata Város Önkormányzat </t>
    </r>
    <r>
      <rPr>
        <sz val="10"/>
        <rFont val="Times New Roman"/>
        <family val="1"/>
      </rPr>
      <t>- választott tisztségviselő</t>
    </r>
  </si>
  <si>
    <r>
      <t>Közterület-felügyelet</t>
    </r>
    <r>
      <rPr>
        <sz val="10"/>
        <rFont val="Times New Roman"/>
        <family val="1"/>
      </rPr>
      <t xml:space="preserve"> (önállóan működő)</t>
    </r>
  </si>
  <si>
    <t xml:space="preserve">Külső finanszírozás hitel felvétel </t>
  </si>
  <si>
    <t>Finanszírozási kiadás beruházási hitel- és kötvény törlesztés</t>
  </si>
  <si>
    <t xml:space="preserve"> -- 2012. évi jóváhagyott kérelem</t>
  </si>
  <si>
    <t xml:space="preserve"> -- 2013. évi tervezett</t>
  </si>
  <si>
    <t>Mindösszesen bevételek:</t>
  </si>
  <si>
    <t>Mindösszesen kiadások:</t>
  </si>
  <si>
    <t>ÁFA</t>
  </si>
  <si>
    <t>Kapott fenntartói kölcsön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</si>
  <si>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</si>
  <si>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</si>
  <si>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</si>
  <si>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</si>
  <si>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</si>
  <si>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Működési kiadások</t>
  </si>
  <si>
    <t>Felhalmozási kiadások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</si>
  <si>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</si>
  <si>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</si>
  <si>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</si>
  <si>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</si>
  <si>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</si>
  <si>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</si>
  <si>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Fürdő utcai Óvoda</t>
  </si>
  <si>
    <t>Szivárvány Óvoda</t>
  </si>
  <si>
    <t>Geszti Óvoda</t>
  </si>
  <si>
    <t>Kertvárosi Óvoda</t>
  </si>
  <si>
    <t>Kincseskert Óvoda</t>
  </si>
  <si>
    <t>Bergengócia Óvoda</t>
  </si>
  <si>
    <t>Kőkúti Általános Iskola</t>
  </si>
  <si>
    <t>Lehívható központi támogatás  Mód. (II.26.)</t>
  </si>
  <si>
    <t>Dunaszentmiklós Önkormányzatától átvétel</t>
  </si>
  <si>
    <t>Természetben nyújtott ellátás - Rendszeres gyermekvédelmi kedvezmény</t>
  </si>
  <si>
    <t>Rendszeres szociális segély</t>
  </si>
  <si>
    <t xml:space="preserve">Intézmények Gazdasági Hivatala </t>
  </si>
  <si>
    <t>Szociális Alapellátó Intézmény</t>
  </si>
  <si>
    <t>Mindösszesen</t>
  </si>
  <si>
    <t>Kuny Domokos Múzeum 2013. évi költségvetése (bevételek)  E Ft-ban</t>
  </si>
  <si>
    <t>Szakfeladatok</t>
  </si>
  <si>
    <t>Működési bevételből</t>
  </si>
  <si>
    <t>Önkormányzati támogatás</t>
  </si>
  <si>
    <t>Kamat</t>
  </si>
  <si>
    <t>910201-1 kötelező</t>
  </si>
  <si>
    <t>910202-1 kötelező</t>
  </si>
  <si>
    <t>910203-1 kötelező</t>
  </si>
  <si>
    <t>910204-1 kötelező</t>
  </si>
  <si>
    <t>Kötelező összesen</t>
  </si>
  <si>
    <t>Kuny Domokos Múzeum  2013. évi költségvetése (kiadások)  E Ft-ban</t>
  </si>
  <si>
    <t>Dologi és egyéb folyó kiadás</t>
  </si>
  <si>
    <t xml:space="preserve">Dologiból kamat </t>
  </si>
  <si>
    <t>Szociális Pénzbeli juttatás</t>
  </si>
  <si>
    <t>Működési célú pénzeszközátadás, és támogatása</t>
  </si>
  <si>
    <t>2013. évi beruházási kiadások feladatonként (ÁFA-val)</t>
  </si>
  <si>
    <t xml:space="preserve">E Ft-ban </t>
  </si>
  <si>
    <t>Megnevezés</t>
  </si>
  <si>
    <t>Pályázatok és azokhoz kapcsolódó feladatok</t>
  </si>
  <si>
    <t>Tatai Angolpark rehabilitációja KDOP -2.1.1/B-2f-2009-0002</t>
  </si>
  <si>
    <t>MNV Zrt. részére a Kiskastély vagyonkezelői jogával kapcsolatos óvadék fizetése (ez csak akkor, ha lesz Angolpark projekt és a Kiskastély vagyonkezelői joga az önkormányzaté)</t>
  </si>
  <si>
    <t>Öreg-tavi Ökoturisztikai Központ kialakítása a csatlakozó kerékpárutak felújításával Tatán és a tematikus aktív turisztikai fejlesztések a kistérségben KDOP–2.1.1/B–09-2010-0002</t>
  </si>
  <si>
    <t>Eötvös József Gimnázium és Magyary Zoltán Művelődési Központ korszerűsítése KEOP-2012- 5.5.0/b</t>
  </si>
  <si>
    <t>Természetes vizes élőhely kialakítása a tatai Réti 8-as tó  rehabilitációjával KEOP–7.3.1.2/09-11-2011-0023</t>
  </si>
  <si>
    <t>A tatai Kőkúti Általános Iskolában működő multifunkcionális sportpálya létrehozása</t>
  </si>
  <si>
    <t>Köztéri műalkotás a tatai Kossuth téren</t>
  </si>
  <si>
    <t>Családbarát munkahelyek kialakításának és fejlesztésének támogatására</t>
  </si>
  <si>
    <t>A Kossuth tér pályázathoz kapcsolódik (de nem része a pályázatnak) a Bláthy O. u. összekötő út építése</t>
  </si>
  <si>
    <t>Tata, Baji út és a Kertváros kerékpáros forgalmának komplex rendezése</t>
  </si>
  <si>
    <t>Tatabánya-Vértesszőlős-Tata településeket összekötő közlekedési célú kerékpárút építése az Általér mentén” KÖZOP–3.2.0/c-08-2010-0003</t>
  </si>
  <si>
    <t>Által-ér völgyi kerékpárút közvilágítása belterületi szakasz I. ütem</t>
  </si>
  <si>
    <t>Pályázatok előkészítéséhez</t>
  </si>
  <si>
    <t>Határozatokkal elfogadott feladatok</t>
  </si>
  <si>
    <t>Bajcsy Zs. u. 22. szoc. bolt kialakítása(538/2012. (XII.20.) Tata Kt. hat.)</t>
  </si>
  <si>
    <t>Újhegyi buszfordulóhoz területvásárlás (545/2012. (XII.20.) Tata Kt. határozat)</t>
  </si>
  <si>
    <t>Tata-Agostyán, Kert utca kisajátítás</t>
  </si>
  <si>
    <t>Fényes-fürdő komplex vízrendezésének és vízjogi engedélyezésének kiviteli tervek (509/2012. (XII.20.) Tata Kt. határozata alapján)</t>
  </si>
  <si>
    <t>Egyéb 2013. évi igények</t>
  </si>
  <si>
    <t>Támogatás értékű működési bevétel OEP-től</t>
  </si>
  <si>
    <t>Decemberi módosítás   E Ft</t>
  </si>
  <si>
    <t>0,5 %</t>
  </si>
  <si>
    <t>2*39301</t>
  </si>
  <si>
    <t>Közterület-felügyeletnek autó vásárlás</t>
  </si>
  <si>
    <t>Digitális alaptérkép III. részlet</t>
  </si>
  <si>
    <t>Polgármesteri Hivatal aula üvegfödém</t>
  </si>
  <si>
    <t>Fekete út- Arany J.u- Komáromi út Nagykert u. csapadékvíz elvezetés tervezése</t>
  </si>
  <si>
    <t>Fekete út- Arany J.u- Komáromi út Nagykert u. csapadékvíz elvezetés kivitelezés I.ütem</t>
  </si>
  <si>
    <t xml:space="preserve">Katona u.(Lop resti forrás ) vízelvezetés tervezés, kivitelezés </t>
  </si>
  <si>
    <t>Nagy L.u- Tavasz u. vízelvezetés( nyitott árok)</t>
  </si>
  <si>
    <t>Vértesszőlős szervízút</t>
  </si>
  <si>
    <t>Fényes fürdő területén fejlesztések végrehajtása (üzemeltetési szerződés alapján)</t>
  </si>
  <si>
    <t>Piarista rendház tető</t>
  </si>
  <si>
    <t>Parkoló megváltásból parkoló építés (2012-ről áthúzódó)</t>
  </si>
  <si>
    <t>Parkoló megváltásból parkoló pítés (2013. évi befizetés terhére)</t>
  </si>
  <si>
    <t>Meglévő engedélyes tervek engedély hosszabbítása és ahhoz kapcsoló terv felülvizsgálati  és engedélyezési díjak</t>
  </si>
  <si>
    <t>Útkorszerűsítések tervezése</t>
  </si>
  <si>
    <t>2046/18 területrész (Szomódi út melletti terület) vétele</t>
  </si>
  <si>
    <t>Barina u. közvilágítása II. ütem</t>
  </si>
  <si>
    <t>Térfigyelő kamerák felszerelése</t>
  </si>
  <si>
    <t>Várudvar lezárása</t>
  </si>
  <si>
    <t>Visszatérő forrásokkal kapcsolatos feladatok</t>
  </si>
  <si>
    <t>Számítástechnikai eszközök vásárlása</t>
  </si>
  <si>
    <t>Mezőgazdasági és Vidékfejlesztési Minisztérium földalapú támogatás</t>
  </si>
  <si>
    <t>Kossuth tér városközpont értékmegörző rehabilitációja KDOP-3.1.I/A.-09-1f-2010-0001</t>
  </si>
  <si>
    <t>Tata Város Önkormányzatának szervezetfejlesztése ÁROP-1.A.5-2013-2013-0003</t>
  </si>
  <si>
    <t xml:space="preserve">Emberi Erőforrás Támogatáskezelő (Bursa Ösztöndíj visszaut.) </t>
  </si>
  <si>
    <t>Elektronikus adóbevallás iparűzési adóhoz program</t>
  </si>
  <si>
    <t>Nagyértékű tárgyi eszköz beszerzés</t>
  </si>
  <si>
    <t>Ingatlan vásárlás az ipari parkban</t>
  </si>
  <si>
    <t>Agostyáni u. 1-3. átalakítás</t>
  </si>
  <si>
    <t>Szemere u. - Aradi u. csapadékvíz elvezetés</t>
  </si>
  <si>
    <t>Egyéb tervezések</t>
  </si>
  <si>
    <t>Intézmények Gazdasági Hivatala és a hozzá tartozó költségvetési szervek</t>
  </si>
  <si>
    <t>Menner Bernát Zeneiskola - dobogó</t>
  </si>
  <si>
    <t>Szociális Alapellátó Intézmény - számítástechnikai eszközök</t>
  </si>
  <si>
    <t>2013. évi tartalékolt beruházási kiadások feladatonként (ÁFA-val)</t>
  </si>
  <si>
    <t>Ökoturisztikai tanösvény kialakítása a tatai Fényes-Fürdő területén KDOP-2.1.1/B-12-2012-0046</t>
  </si>
  <si>
    <t>Tata, Kossuth tér városközpont értékmegőrző rehabilitációja KDOP–3.1.1/A–09-1f-2010-0001</t>
  </si>
  <si>
    <t>Napelemes rendszer kiépítése - 2 pályázat KEOP-4.2.0/A</t>
  </si>
  <si>
    <t>Dózsa György utca 49-53-ig tartó járdaszakasz felújítása</t>
  </si>
  <si>
    <t>Tata, Deák Ferenc utca önkormányzati tulajdonú belterületi út fejlesztése</t>
  </si>
  <si>
    <t>Intermodális közösségi közlekedési központ létrehozása Tatán KÖZOP–5.5.0-09-11-2011-0010</t>
  </si>
  <si>
    <t>Adminisztratív kiegészítő szolgáltatás</t>
  </si>
  <si>
    <t>Kölcsönzés lizing</t>
  </si>
  <si>
    <t>Intézmények Gazdasági Hivatalához tartozó önállóan működő intézmények 2013. évi költségvetése</t>
  </si>
  <si>
    <t>Beruházáshoz kapcsolódó ÁFA visszatérülés</t>
  </si>
  <si>
    <t>Felhalmozási célú árfolyamnyereség</t>
  </si>
  <si>
    <t>Előző évi költségvetési kiegészítések, visszatérülések</t>
  </si>
  <si>
    <t>Intézmények Gazdasági Hivatalához tartozó részben önálló intézmények 2013. évi költségvetése</t>
  </si>
  <si>
    <t>Költségvetési alcím megnevezése</t>
  </si>
  <si>
    <t>Feladat jellege</t>
  </si>
  <si>
    <t>Egyéb saját bevétel</t>
  </si>
  <si>
    <t>Egyéb saját bevételből ellátottak étkezési térítési díj bevétele</t>
  </si>
  <si>
    <t>OEP finanszírozás</t>
  </si>
  <si>
    <t>Finanszírozás</t>
  </si>
  <si>
    <t>pénzmar átvét</t>
  </si>
  <si>
    <t>Dologi</t>
  </si>
  <si>
    <t>Dologiból ellátottakra vonatkozó élelmiszer beszerzés és vásárolt élelmezés</t>
  </si>
  <si>
    <t>Pénzbeli kártérítés</t>
  </si>
  <si>
    <t>Átadott pénzeszk.</t>
  </si>
  <si>
    <t xml:space="preserve">Beruházás </t>
  </si>
  <si>
    <t xml:space="preserve">Felújítás </t>
  </si>
  <si>
    <t>Függő kiadások</t>
  </si>
  <si>
    <t>össz</t>
  </si>
  <si>
    <t>kötelező</t>
  </si>
  <si>
    <t>Mód.(IV.30.)</t>
  </si>
  <si>
    <t>Mód. V. hó</t>
  </si>
  <si>
    <t>Mód. IX. hó</t>
  </si>
  <si>
    <t>Mód. XII. hó</t>
  </si>
  <si>
    <t>Mód. II. hó</t>
  </si>
  <si>
    <t>Bartók B. utcai Óvoda</t>
  </si>
  <si>
    <t>Bölcsöde</t>
  </si>
  <si>
    <t>Vaszary J. Általános Iskola</t>
  </si>
  <si>
    <t>Vaszary - Logopédiai Intézet</t>
  </si>
  <si>
    <t>Vaszary-Jázmin Tagint.</t>
  </si>
  <si>
    <t>Vaszary - Tardosi Tagint.</t>
  </si>
  <si>
    <t>Vaszary összesen</t>
  </si>
  <si>
    <t>Kőkúti Általános Iskola - Fazekas U. Tagintézmény</t>
  </si>
  <si>
    <t>Kőkúti összesen</t>
  </si>
  <si>
    <t>Zeneiskola</t>
  </si>
  <si>
    <t>Diákotthon</t>
  </si>
  <si>
    <t xml:space="preserve">Jávorka </t>
  </si>
  <si>
    <t>Teljesítés</t>
  </si>
  <si>
    <t>Lehívható központi támogatás Teljesítés</t>
  </si>
  <si>
    <t>Lehívható központi támogatás  Teljesítés</t>
  </si>
  <si>
    <t>KEM Jávorka S. Sz.Iskola és Kollégium + KEM Óvoda, Ált.Isk., Spec.Szakisk., Diákotthon és Gyermekotthon összesen</t>
  </si>
  <si>
    <t>V. hó</t>
  </si>
  <si>
    <t>önk. váll.</t>
  </si>
  <si>
    <t>IGH és iskolák összesen</t>
  </si>
  <si>
    <t>összesen</t>
  </si>
  <si>
    <t>Könyvtár</t>
  </si>
  <si>
    <t>SZAI Jelzőrendszeres házi segítségnyújtás</t>
  </si>
  <si>
    <t>SZAI Támogató szolgálat</t>
  </si>
  <si>
    <t>SZAI Közösségi</t>
  </si>
  <si>
    <t>SZAI nappali, családsegítő és gyermekjóléti, szociális étkezés, éjjeli menedékhely, házigondozás</t>
  </si>
  <si>
    <t>Tatai Egészségügyi Alapellátó Intézmény</t>
  </si>
  <si>
    <t>Kvi. alcímek és szakf. Összesen:</t>
  </si>
  <si>
    <t xml:space="preserve">IGH feladatkörébe tartozó kötelező feladatok </t>
  </si>
  <si>
    <t>kötelező össz.</t>
  </si>
  <si>
    <t>IGH feladatkörébe tartozó önként vállalt feladatok</t>
  </si>
  <si>
    <t>önk. váll.össz.</t>
  </si>
  <si>
    <t>A munka és a magánélet összehangolását segítő helyi kezdeményezések megvalósítása Tata városában TÁMOP-2.4.5-12/3-2012-0028</t>
  </si>
  <si>
    <t>A munka és a magánélet összehangolása a Tatai Polgármesteri Hivatalban TÁMOP-2.4.5-12/7-2012-0705</t>
  </si>
  <si>
    <t xml:space="preserve">Egészségre nevelő és szemléletformáló életmódprogramok a Tatai Kistérségben TÁMOP-6.1.2/11/3 </t>
  </si>
  <si>
    <t>Tata közvilágítás hálózat korszerűsítése</t>
  </si>
  <si>
    <t>Óvodafejlesztés TÁMOP-3.1.11-12/1.2</t>
  </si>
  <si>
    <t>Az Angolpark projekten belül: a Baji úti és Sport utcai útkorszerűsítés kivitelezése</t>
  </si>
  <si>
    <t>Ökoturisztikai Központ Építők parki parkolóinak kiépítése, autóbusz várakozóhely tervezése, kiépítése, közvilágítás és csapadékvíz elvezetéssel együtt</t>
  </si>
  <si>
    <t>Ingatlan vásárlás</t>
  </si>
  <si>
    <t>2013. évi felújítási kiadások célonként (ÁFA-val)</t>
  </si>
  <si>
    <t>E Ft-ban</t>
  </si>
  <si>
    <t>Rákóczi u. 9. raktár tetőfelújítása (141/2012. (IV.26.) Tata Kt. határozat</t>
  </si>
  <si>
    <t>Rákóczi u. 9. hátsó homlokzat áll.megóvása (409/2012. (X.31.) Tata Kt. hat</t>
  </si>
  <si>
    <t>Vaszary Villa állagmegóvó munkálataira (297/2010. (IX.1.) Kt. határozat)</t>
  </si>
  <si>
    <t>Kocsi u. 4. szám alatti ing bontása (459/2012. (XI.29.) Tata Kt. határozat)</t>
  </si>
  <si>
    <t>Jázmin u. 22-24. tetőjavítás 546/2012. (XII.20.) Tata Kt. határozat)</t>
  </si>
  <si>
    <t>Bacsó B. u-i lakótelep átvételét követő intézkedésekre 455/2012. (XI.29.) Tata Kt. határozat</t>
  </si>
  <si>
    <t>ÉDV Zrt-nek üzemeltetésre átadott viziközművek felújítása</t>
  </si>
  <si>
    <t>- 267/2013. (V.30.) Tata Kt.határozata alapján Tata Távhő Kft és egyéb humán feladatokra</t>
  </si>
  <si>
    <t>- Szociális Alapellátó Intézmény Tatai Többcélú Kistérségi Társulába történő átkerülése miatt</t>
  </si>
  <si>
    <t>- 314/2013. (VI.28.)Tata Kt. határozat Tatai Távhő Kft-nek tagi kölcsön megtérüléséből</t>
  </si>
  <si>
    <t>Balatonvilágosi üdülő energiatakarékossági felújítása</t>
  </si>
  <si>
    <t>Önkormányzati nem lakáscélú helyiségek feújítása</t>
  </si>
  <si>
    <t>Rákóczi u. 9. utcai homlokzat felújítás</t>
  </si>
  <si>
    <t>Eötvös J. Gimnázium új épületének tetőjavítása</t>
  </si>
  <si>
    <t xml:space="preserve">Játszóterek felújítása, bekerítése és bővítése új eszközökkel </t>
  </si>
  <si>
    <t>Fenyő téri (Baj úti), Bartók B.u.3, Május1 út 5×18lakás kerítés építés, Bacsó B. úti, Levendula ltp ivókút létesítése, Építők parkjai, Kazincbarcikai úti fejlesztés további játszóeszközökkel,mászókákkal, focipálya</t>
  </si>
  <si>
    <t>Kültéri kihelyezett eszközök cseréje, felújítása</t>
  </si>
  <si>
    <t>Szerver helység portalanná tétele</t>
  </si>
  <si>
    <t>Vaszary J. Általános Iskola - mosdók felújítása</t>
  </si>
  <si>
    <t>Kőkúti Általános Iskola - mosdók felújítása</t>
  </si>
  <si>
    <t>Vár - bejárati ajtó, bejárati falfelület és mosdó, lovagterem szigetelése, földszinti mosdó (akadálymentesítés és pelenkázó), mosdó, udvar oszlopok</t>
  </si>
  <si>
    <t>Német Nemzetiségi Múzeum - vízvezeték, bejárati ajtó, raktártető</t>
  </si>
  <si>
    <t>2013. évi tartalékolt felújítási kiadások feladatonként (ÁFA-val)</t>
  </si>
  <si>
    <t>Vaszary Villa felújítás</t>
  </si>
  <si>
    <t>Tata Város Önkormányzata által folyósított 2013. évi ellátások alakulásának részletezése</t>
  </si>
  <si>
    <t>(E Ft-ban)</t>
  </si>
  <si>
    <t>Lehívható központi támogatás Eredeti</t>
  </si>
  <si>
    <t>Foglalkoztatást helyettesítő támogatás</t>
  </si>
  <si>
    <t>Tartósan munkanélküliek rendszeres szociális segélye</t>
  </si>
  <si>
    <t>Időskorúak járadéka</t>
  </si>
  <si>
    <t>Lakásfenntartási támogatás (normatív)</t>
  </si>
  <si>
    <t>Adósságkezelési szolgáltatás</t>
  </si>
  <si>
    <t>Ápolási díj (normatív)</t>
  </si>
  <si>
    <t>Ápolási díj (helyi megállapítás)</t>
  </si>
  <si>
    <t>Átmeneti segély</t>
  </si>
  <si>
    <t>Rendszeres gyermekvédelmi támogatás</t>
  </si>
  <si>
    <t>Temetési segély</t>
  </si>
  <si>
    <t>Rendkívüli gyermekvédelmi támogatás (helyi megállapítás)</t>
  </si>
  <si>
    <t>Tatai fiatalok életkezdési támogatásához</t>
  </si>
  <si>
    <t>Közlekedési támogatás tanulóknak</t>
  </si>
  <si>
    <t>Óvodáztatási támogatás</t>
  </si>
  <si>
    <t xml:space="preserve"> - Tatai Távhő Kft. jövőbeni működésére tagi kölcsön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</si>
  <si>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</si>
  <si>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</si>
  <si>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</si>
  <si>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</si>
  <si>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</si>
  <si>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Természetben nyújtott ellátások összesen</t>
  </si>
  <si>
    <t>Szociális, Egészségvédelmi és Sport Alap</t>
  </si>
  <si>
    <t>Kulturális és Oktatási Alap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</si>
  <si>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</si>
  <si>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</si>
  <si>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</si>
  <si>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Ápolási díj (emelt összegű)</t>
  </si>
  <si>
    <t>Tatai Közös Önkormányzati Hivatal által folyósított 2013. évi ellátások alakulásának részletezése</t>
  </si>
  <si>
    <t>Tata</t>
  </si>
  <si>
    <t>Tata összesen</t>
  </si>
  <si>
    <t>Neszmély</t>
  </si>
  <si>
    <t>Neszmély összesen</t>
  </si>
  <si>
    <t>Dunaalmás</t>
  </si>
  <si>
    <t>Ápolási díj alanyi jogon</t>
  </si>
  <si>
    <t>Dunaalmás összesen</t>
  </si>
  <si>
    <t>Dunaszentmiklós</t>
  </si>
  <si>
    <t>Dunaszentmiklós összesen</t>
  </si>
  <si>
    <t>Tata Város Önkormányzatának pénzeszközátadásainak és támogatásainak 2013. évi előirányzata (E Ft-ban)</t>
  </si>
  <si>
    <t>Működési célú pénzeszközátadások és támogatások:</t>
  </si>
  <si>
    <t>Tatai Városgazda Nonprofit Kft. bér és működési támogatása</t>
  </si>
  <si>
    <t>Tatai Városkapu Zrt. támogatása</t>
  </si>
  <si>
    <t>Tata Város Önkormányzatnak vissza (pénzmaradvány átadás)</t>
  </si>
  <si>
    <t>Juniorka Alapítványi Bölcsőde támogatása</t>
  </si>
  <si>
    <t>Juniorka Alapítványi Óvoda támogatása</t>
  </si>
  <si>
    <t>Tatai Televízió Közalapítvány</t>
  </si>
  <si>
    <t>Have Your Say" pályázati támogatás visszafizetése</t>
  </si>
  <si>
    <t>Bursa Hungarica ösztöndíjakra</t>
  </si>
  <si>
    <t>TAC kézilabda szakosztály támogatása</t>
  </si>
  <si>
    <t>Hódy SE támogatása</t>
  </si>
  <si>
    <t>Klapka Focisuli</t>
  </si>
  <si>
    <t>Vívó Sport Egyesület</t>
  </si>
  <si>
    <t>Tatai Sport Egyesület</t>
  </si>
  <si>
    <t>Sportiskola - Kőkúti Sasok</t>
  </si>
  <si>
    <t>HUSK 0901 pályázat támogatási előleg egy részének visszafizetése</t>
  </si>
  <si>
    <t>Vértes Volán Zrt. részére veszteségkiegyenlítési igény</t>
  </si>
  <si>
    <t>Kis és középvállalkozások támogatása</t>
  </si>
  <si>
    <t>Közép-Duna Vidéke Önkormányzati Társulás működési hozzájárulása</t>
  </si>
  <si>
    <t>TDM – KDOP-2.2.1/A 270/2009. /VIII.12./</t>
  </si>
  <si>
    <t>TDM-nek KDOP-2.2.1/A-12 pályázathoz önrész</t>
  </si>
  <si>
    <t>TDM-nek KDOP-2.2.1/A-12 térségi TDM pályázathoz önrész</t>
  </si>
  <si>
    <t>Háziorvosok támogatása (263 E Ft x 21 praxis)</t>
  </si>
  <si>
    <t>5. sz. felnőtt háziorvosi körzett helyettesítésére</t>
  </si>
  <si>
    <t>Magyar Máltai Szeretetszolgálat tatai csoportjának</t>
  </si>
  <si>
    <t>Magyar Vöröskereszt tatai szervezetének</t>
  </si>
  <si>
    <t>Bliss Alapítványnak</t>
  </si>
  <si>
    <t>Kenderke Alapfokú Művészeti Iskola</t>
  </si>
  <si>
    <t>TIT KEM Egyesület</t>
  </si>
  <si>
    <t>Pötörke Népművészeti Egyesület</t>
  </si>
  <si>
    <t>Concerto Kft. - nemzetközi zenei mesterkurzus</t>
  </si>
  <si>
    <t>Concerto Kft. - Tatai Barokk Fesztivál</t>
  </si>
  <si>
    <t>Polgárőrség támogatása</t>
  </si>
  <si>
    <t>Rendőrség támogatása</t>
  </si>
  <si>
    <t>Összesen:</t>
  </si>
  <si>
    <t>Felhalmozási célú pénzeszközátadások és támogatások:</t>
  </si>
  <si>
    <t>Értékvédelmi alap 19/2011 (V.30.) ÖR</t>
  </si>
  <si>
    <t>Panel Program</t>
  </si>
  <si>
    <t>Öko Program</t>
  </si>
  <si>
    <t>NEP</t>
  </si>
  <si>
    <t>ZBR</t>
  </si>
  <si>
    <t>Panel Program - ÚSZT fűtéskorszerűsítés (2013. évi igények)</t>
  </si>
  <si>
    <t>Közlekedésbiztonsági pályázat – tervezések önrész útpénztárnak</t>
  </si>
  <si>
    <t xml:space="preserve">Vértes Volán Zrt. részére szerződés alapján   (353/2010.(XI.24.) </t>
  </si>
  <si>
    <t>Tatai Városgazda Nonprofit Kft. részére szociális bolt kialakítására 538/2012. (XII.20.) Tata Kt. határozat</t>
  </si>
  <si>
    <t>Tatai Távhőszolgáltató Kft-nek a csőprojektre pénzmaradvány terhére</t>
  </si>
  <si>
    <t>Tatai Kistérségi Többcélú Társulás tagdíja</t>
  </si>
  <si>
    <t>Tatai Közös Hivatal részére függő, átfutó</t>
  </si>
  <si>
    <t>Tatai Közös Önkormányzati Hivatal pénzeszközátadásainak és támogatásainak 2013. évi előirányzata (E Ft-ban)</t>
  </si>
  <si>
    <t>Tata Város Önkormányzat</t>
  </si>
  <si>
    <t>támogatásértékű bevételei és államháztartáson kívülről átvett pénzeszközeinek</t>
  </si>
  <si>
    <t>2013. évi alakulása (E Ft-ban)</t>
  </si>
  <si>
    <t>Közfoglalkoztatás támogatása</t>
  </si>
  <si>
    <t>Wesselényi alaptól SPO-SE-10 pályázatra</t>
  </si>
  <si>
    <t xml:space="preserve">Interaktív Generációk pályázatra </t>
  </si>
  <si>
    <t>Jelzőrendszeres házi segítségnyújtása</t>
  </si>
  <si>
    <t>Támogató szolgálat</t>
  </si>
  <si>
    <t>Közösségi ellátás</t>
  </si>
  <si>
    <t>Támogatás értékű felhalmozási célú bevételek</t>
  </si>
  <si>
    <t>Tatai Angolpark rehabilitációja KDOP -2.1.1/B-2f-2009-0002 önerő alap támogatás</t>
  </si>
  <si>
    <t>Öreg-tavi Ökoturisztikai Központ kialakítása a csatlakozó kerékpárutak felújításával Tatán és a tematikus aktív turisztikai fejlesztések a kistérségben KDOP–2.1.1/B–09-2010-0002 önerő alap támogatás</t>
  </si>
  <si>
    <t>Eötvös József Gimnázium felújítása és Magyary Zoltán Művelődési Központ felújítása KEOP-2012- 5.5.0/b</t>
  </si>
  <si>
    <t>Komplex energiaracionalizálás Tata általános iskoláiban és óvodáiban KEOP -5.1.0-2008-0037</t>
  </si>
  <si>
    <t>Tata, Kossuth tér városközpont értékmegőrző rehabilitációja KDOP–3.1.1/A–09-1f-2010-0001 önerő alap támogatás</t>
  </si>
  <si>
    <t>Működési célra átvett pénzeszközök államháztartáson kívülről</t>
  </si>
  <si>
    <t>Pons Danubii EGTC-től átvett</t>
  </si>
  <si>
    <t>Talentum iskolától</t>
  </si>
  <si>
    <t>Felhalmozási célra átvett pénzeszközök államháztartáson kívülről</t>
  </si>
  <si>
    <t>Átvállalt köztisztasági díj</t>
  </si>
  <si>
    <t>Befejezett viziközmű társulatoktól</t>
  </si>
  <si>
    <t>tartalékolt felhalmozási kiadásokhoz kapcsolódó támogatásértékű bevételeinek</t>
  </si>
  <si>
    <t>Költségvetési szerveknek nyújtott tám. (intézményfinanszírozás)</t>
  </si>
  <si>
    <t>Magyar Autóklubnak támogatás</t>
  </si>
  <si>
    <t>Magyarkanizsai "Gyöngyszemeink" iskoláskor előtti intézmény támogatása</t>
  </si>
  <si>
    <t xml:space="preserve"> - Jászai Mari Színház, Népháznak bérletvásárlási kedvezmény támogatása</t>
  </si>
  <si>
    <t>Tatai Atlétikai Club támogatása</t>
  </si>
  <si>
    <t>Környezetvédelmi Alap</t>
  </si>
  <si>
    <t>Első munkahely garancia program</t>
  </si>
  <si>
    <t>Tatai Többcélú Kistérségi Társulástól</t>
  </si>
  <si>
    <t>Tatai Kistérségi Többcélú Társulástól</t>
  </si>
  <si>
    <t xml:space="preserve">Tata </t>
  </si>
  <si>
    <t>Megszűnt Tatai Polgármesteri Hivatal pénzkészlete és aktív, passzív pénzügyi elszámolások átadása</t>
  </si>
  <si>
    <t xml:space="preserve">Dunaalmás </t>
  </si>
  <si>
    <t>Szociális feladatok támogatás (Kincstári visszaigénylések)</t>
  </si>
  <si>
    <t xml:space="preserve">OEP-től 5. sz. felnőtt háziorvosi körzet finanszírozására </t>
  </si>
  <si>
    <t>Nemzeti Család és Szociálpolitikai Intézettől Fiatalok Lendületben Program támogatása</t>
  </si>
  <si>
    <t>Informatikai támogatás visszautalása MÁK-on keresztül</t>
  </si>
  <si>
    <t>Függő, kiegyenlítő, átfutó bevétel</t>
  </si>
  <si>
    <t>Kiegyenlítő, függő, átfutó kiadás</t>
  </si>
  <si>
    <t>Vértes Volántól Minimaraton támogatása</t>
  </si>
  <si>
    <t>Tata és Környéke Turisztikai Egyesülettől átvétel</t>
  </si>
  <si>
    <t>Magnum Hungária Beta Kft-től városfejlesztési megállapodás alapján</t>
  </si>
  <si>
    <t>Megelőlegezett személyi juttatás kifizetéséhez Dunaalmástól</t>
  </si>
  <si>
    <t>Közös Hivatal fenntartásához vis majortámogatásból Neszmély önkormányzatától</t>
  </si>
  <si>
    <t>Közös Hivatal fenntartásához Neszmély önkormányzatától</t>
  </si>
  <si>
    <t>Személyi juttatáshoz hozzájárulás Neszmély önkormányzatától</t>
  </si>
  <si>
    <t>Munkaügyi Központtól Első munkahely garancia programra</t>
  </si>
  <si>
    <t>Önkormányzat támogatása</t>
  </si>
  <si>
    <t>Önkormányzati költségvetési szervek engedélyezett létszáma</t>
  </si>
  <si>
    <t>Költségvetési szervek megnevezése</t>
  </si>
  <si>
    <t>Engedélyezett létszám (fő)</t>
  </si>
  <si>
    <t>Bartók B. úti Óvoda</t>
  </si>
  <si>
    <t>Csillagsziget Bölcsőde</t>
  </si>
  <si>
    <t>Móricz Zsigmond Könyvtár</t>
  </si>
  <si>
    <t>Kuny Domokos Múzeum</t>
  </si>
  <si>
    <t xml:space="preserve"> - Normatíva felülvizsgálatig</t>
  </si>
  <si>
    <t xml:space="preserve">Pénzmaradvány átadás </t>
  </si>
  <si>
    <t xml:space="preserve"> - Tatai Távhőszolgáltató Kft.</t>
  </si>
  <si>
    <t xml:space="preserve">Felhalmozási céltartalék </t>
  </si>
  <si>
    <t xml:space="preserve"> - Tatai Fényes Fürdő Kft. kölcsön visszafizetéséből elkülönítve</t>
  </si>
  <si>
    <t xml:space="preserve"> - Árfolyamveszteségre</t>
  </si>
  <si>
    <t>Városi Önkormányzat Intézmények összesen:</t>
  </si>
  <si>
    <t>Mód. III. hó</t>
  </si>
  <si>
    <t>Önkormányzati közfoglalkoztatottak éves létszám-erőirányzata</t>
  </si>
  <si>
    <t>Eredeti átlag létszám</t>
  </si>
  <si>
    <t>- Dunaalmási Kirendeltésg</t>
  </si>
  <si>
    <t>- Dunaszentmiklósi Kirendeltésg</t>
  </si>
  <si>
    <t>- Neszmélyi Kirendeltség</t>
  </si>
  <si>
    <t>Bevétel</t>
  </si>
  <si>
    <t>Kiadás</t>
  </si>
  <si>
    <t>Hiteltörl. Kölcsön</t>
  </si>
  <si>
    <t>Tartalékok</t>
  </si>
  <si>
    <t xml:space="preserve">Személyi juttatások </t>
  </si>
  <si>
    <t>M.adókat terh. jár.</t>
  </si>
  <si>
    <t xml:space="preserve">Dologi egyéb folyó </t>
  </si>
  <si>
    <t>Pénzeszk. Átadás</t>
  </si>
  <si>
    <t>Önk.által foly. ellátás</t>
  </si>
  <si>
    <t>Kötelező</t>
  </si>
  <si>
    <t>Nem kötelező</t>
  </si>
  <si>
    <t>Állam (igazgatás)</t>
  </si>
  <si>
    <t>Önkormányzati jogalkotás</t>
  </si>
  <si>
    <t>Adó, illeték kiszabása, beszedése, adóellenőrzés</t>
  </si>
  <si>
    <t>Önkormányzati vagyonnal való gazdálkodással kapcsolatos feladatok</t>
  </si>
  <si>
    <t>Önkormányzatok elszámolása költségvetési szerveikkel</t>
  </si>
  <si>
    <t>Megújuló energia rendszerek fejlesztése pályázat HUSK/1301/2.1-1 268/2013.(V.30.) Tata Kt. határozat (Kőkúti Iskola, Kincseskert Óvoda és a Közös Önkormányzati Hivatal épületeének napelemes rendszerrel való felszerelése)</t>
  </si>
  <si>
    <t>Gombkötő u. 2/b. ingatlan vételára 288/2013.(V.30.) Tata Kt. határozat</t>
  </si>
  <si>
    <t>Gesztenye-fasor 47/a. 1/2. szám alatti, 1988/4/A/10 hrsz.-ú, 36 m2 nagyságú komfortos társasházi lakás 305/2013.(V.30.) Tata Kt. határozat</t>
  </si>
  <si>
    <t>Jázmin u. 40. szám alatti, 2006/41/A/1 hrsz.-ú, 41 m2 nagyságú komfortos társasházi lakás 305/2013.(V.30.) Tata Kt. határozat</t>
  </si>
  <si>
    <t>Távhő Kft. által végrehajtott beruházások átvétele 314/2013.(VI.28.) Tata Kt. határozat</t>
  </si>
  <si>
    <t>A tatai 15374/11 és 15374/12 hrsz.-ú ingatlanokból a 118 m2 nagyságú terület megvételére 377/2013.(VII.12.) Tata Kt. határozat</t>
  </si>
  <si>
    <t>Fényképezőgép beszerzésére (egyéb kiadói tevékenységgel összefüggésben)</t>
  </si>
  <si>
    <t>Tatai Városgazda Nonprofit Kft. jegyzett tőke emelése - általános tartalékból</t>
  </si>
  <si>
    <t>Kincseskert Óvoda cirkulációs vezeték 260/2013. (V.30.) Tata Kt. határozat</t>
  </si>
  <si>
    <t>Magyary Zoltán Művelődési Központ: nyílászáró csere 266/2013.(V.30.) Tata Kt. határozat</t>
  </si>
  <si>
    <t>Kálvária u. 5. ingatlan felújítására 376/2013.(VII.12.) Tata Kt. határozat</t>
  </si>
  <si>
    <t>A tatai Angolpark rehabilitációja című projekthez kapcsolódó együttműködési megállapodás - 11135. számú országos közút felújításához 957 E Ft önerő 383/2013.(VII.12.) Tata Kt. határozat</t>
  </si>
  <si>
    <t>Szivárvány Óvoda felújítási tervei</t>
  </si>
  <si>
    <t>Aktívkorúak ellátása</t>
  </si>
  <si>
    <t>Bölcsődei ellátás</t>
  </si>
  <si>
    <t>Központi költségvetésből származó támogatások</t>
  </si>
  <si>
    <t>Fejlesztési célú támogatások - Központi költségvetésből</t>
  </si>
  <si>
    <t>2013 .07. 01-től</t>
  </si>
  <si>
    <t>Bláthy Ottó Szakközép Iskola, Szakiskola és Kollégium - Szakmai Képzésért Közalapítvány</t>
  </si>
  <si>
    <t>Tatai Református Egyházközség Hajnalcsillag Tatai Református Óvoda támogatása</t>
  </si>
  <si>
    <t>Önkormányzati Szövetségnek árvíz elleni védekezésre</t>
  </si>
  <si>
    <t>Vértes Volán Zrt. helyi közösségi közlekedés támogatása</t>
  </si>
  <si>
    <t>Magyar Máltai Szeretetszolgálat Csilla von Boeselager Gondviselés Háza Támogató Szolgálat és Idősek Napközisotthon támogatása</t>
  </si>
  <si>
    <t>Komárom-Esztergom Megyei 104 Mentőalapítvány támogatása</t>
  </si>
  <si>
    <t>Kőkúti Sasok DSE</t>
  </si>
  <si>
    <t>Szociális Háló Közalapítvány</t>
  </si>
  <si>
    <t>Tatai Kistérségi Többcélú Társulás</t>
  </si>
  <si>
    <t>- Vakok és Gyengénlátók KEM Egyesülete - eszközbeszerzés támogatása</t>
  </si>
  <si>
    <t>- "Kéz a Kézben Alapítvány - országos strandröplabda bajnokság</t>
  </si>
  <si>
    <t>- Tatai Shotokan Karate SE - Tóth Krisztián eb, ob diákolimpiai részvételre</t>
  </si>
  <si>
    <t>- Eötvös József Gimnázium - nyári tehetséggondozó tábor</t>
  </si>
  <si>
    <t>- Magyar Vöröskereszt tatai szervezete - 2013. évi egészgégkárosodott és hátrányos helyzetű gyermektábor támogatása</t>
  </si>
  <si>
    <t>- Tatai Városi Nyugdíjas Klub - rendezvények terembérleti díja, klubtalálkozón való részvétel, Gútai cserekapcsolat</t>
  </si>
  <si>
    <t>Felújításhoz kapcsolódó ÁFA visszatérülés</t>
  </si>
  <si>
    <t>- Tatai Mecénás Közalapítvány - Fiatal Művészek támogatása</t>
  </si>
  <si>
    <t>- Tatai Kenderke Alapítvány - fellépések, tanulmányutak, utazási költség</t>
  </si>
  <si>
    <t>- Magyar Máltai Szeretetszolgálat - akadálymentesített feljáró, felvonó befedése</t>
  </si>
  <si>
    <t>Tavasz utcai parkoló felújítása - Általános tartalékból</t>
  </si>
  <si>
    <t>Hangszer beszerzés a Menner Bernát Zeneiskola részére - Általános tartalékból</t>
  </si>
  <si>
    <t>Aradi vértanúk emlékoszlopra - 527 E Ft Általános tartalékból</t>
  </si>
  <si>
    <t>Nem kötelező összesen:</t>
  </si>
  <si>
    <t>Állam (igazgatás) összesen:</t>
  </si>
  <si>
    <t>TAC Labdarúgó pályához szükséges önerő</t>
  </si>
  <si>
    <t>Tatai Televízió Közalapítványnak</t>
  </si>
  <si>
    <t>Út, autópálya építés</t>
  </si>
  <si>
    <t>552001</t>
  </si>
  <si>
    <t>Üdülői szálláshely szolgáltatás</t>
  </si>
  <si>
    <t>Önkormányzatok és társulások általános végrehajtó tevékenysége</t>
  </si>
  <si>
    <t>Város- és községgazdálkodás</t>
  </si>
  <si>
    <t>Önkormányzat elszámolása költségvetési szerveikkel</t>
  </si>
  <si>
    <t xml:space="preserve">Egyéb önk. Eseti ellátások </t>
  </si>
  <si>
    <t>Munkáltatók által nyújtott lakástámogatások</t>
  </si>
  <si>
    <t>Ápolási díj (méltányossági)</t>
  </si>
  <si>
    <t>Máshova nem sorolható személyi szolgáltatás (Anyakönyv)</t>
  </si>
  <si>
    <t>Kötelező összesen:</t>
  </si>
  <si>
    <t>770000</t>
  </si>
  <si>
    <t>Kölcsönzés, lízing</t>
  </si>
  <si>
    <t>821000</t>
  </si>
  <si>
    <t>Adminisztratív szolgáltatás</t>
  </si>
  <si>
    <t>841112</t>
  </si>
  <si>
    <t>Tatai Közös Önkormányzati Hivatal Tatai szervezeti egység 2013. évi költségvetési terve (szakfeladatok és kiemelt előirányzatok szerinti bontásban) ( E Ft-ban)</t>
  </si>
  <si>
    <t>- Közös Hivatal székhely szerinti szervezeti egysége</t>
  </si>
  <si>
    <t>Neszmélyi kirendeltség</t>
  </si>
  <si>
    <t>Önkormányzatok és társulások általános végrehajtó és igazgatási tevékenysége</t>
  </si>
  <si>
    <t xml:space="preserve">Aktív korúak ellátása </t>
  </si>
  <si>
    <t>882113</t>
  </si>
  <si>
    <t>882112</t>
  </si>
  <si>
    <t>Időskorúak ellátása</t>
  </si>
  <si>
    <t>Dunaalmási kirendeltség</t>
  </si>
  <si>
    <t>841126</t>
  </si>
  <si>
    <t>Neszmélyi kirendeltség összesen:</t>
  </si>
  <si>
    <t>Dunaalmási kirendeltség összesen:</t>
  </si>
  <si>
    <t>Dunaszentmiklósi kirendelség</t>
  </si>
  <si>
    <t>Dunaszentmiklósi kirendelség összesen:</t>
  </si>
  <si>
    <t>Tata összesen:</t>
  </si>
  <si>
    <t>Tata Város Közterület-felügyelete 2013. évi költségvetési terve (szakfeladatok és kiemelt előirányzatok szerinti bontásban) ( E Ft-ban)</t>
  </si>
  <si>
    <t>Pénzeszk. átadás és kezesség váll.</t>
  </si>
  <si>
    <t>Közterület rendjének fenntartása (Közterület Felügyelet)</t>
  </si>
  <si>
    <t>Törvény- javaslat hivatk.sz.</t>
  </si>
  <si>
    <t>Jogcímek megnevezése</t>
  </si>
  <si>
    <t>Bevétel tervezéséhez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</si>
  <si>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</si>
  <si>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</si>
  <si>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</si>
  <si>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</si>
  <si>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</si>
  <si>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</si>
  <si>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</si>
  <si>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</si>
  <si>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</si>
  <si>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</si>
  <si>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</si>
  <si>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</si>
  <si>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</si>
  <si>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</si>
  <si>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</si>
  <si>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</si>
  <si>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</si>
  <si>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</si>
  <si>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</si>
  <si>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</si>
  <si>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</si>
  <si>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ökk. Váll.</t>
  </si>
  <si>
    <t>Rövid időtartamú közfoglalkoztatás</t>
  </si>
  <si>
    <t>Költségvetési szerveknek folyósított támogtás</t>
  </si>
  <si>
    <t>020000</t>
  </si>
  <si>
    <t>Erdőgazdálkodás</t>
  </si>
  <si>
    <t>Víztermelés-kezelés ellátás</t>
  </si>
  <si>
    <t>Szennyvíz gyűjtése, tisztítása, elhelyezése</t>
  </si>
  <si>
    <t>Települési hulladék gyűjtése, szállítása</t>
  </si>
  <si>
    <t>Lakó- és nem lakóépület építése</t>
  </si>
  <si>
    <t>Út, autópálya építése</t>
  </si>
  <si>
    <t>Városi közúti személyszállítás</t>
  </si>
  <si>
    <t>Helyi utak fenntartása</t>
  </si>
  <si>
    <t>Könyvkiadás</t>
  </si>
  <si>
    <t>Egyéb kiadói tevékenység (lapkiadás)</t>
  </si>
  <si>
    <t>Lakóingatlan bérbeadása</t>
  </si>
  <si>
    <t>Nem lakóingatlan bérbeadása</t>
  </si>
  <si>
    <t>Állategészségügyi ellátás</t>
  </si>
  <si>
    <t>Zöldterület kezelés (parkfenntartás)</t>
  </si>
  <si>
    <t>Zöldterület kezelés (játszótér)</t>
  </si>
  <si>
    <t>Önkormányzati jogalkotás (Pénzmaradvány)</t>
  </si>
  <si>
    <t>Nemzeti ünnepek programjai</t>
  </si>
  <si>
    <t>Kiemelt önkormányzati rendezvények (Minimarathon)</t>
  </si>
  <si>
    <t>Kiemelt önkormányzati rendezvények (Városi ünnepek)</t>
  </si>
  <si>
    <t xml:space="preserve">Kiemelt önkormányzati rendezvények </t>
  </si>
  <si>
    <t>Környezet- és természetvédelem helyi igazgatása és szabályozása</t>
  </si>
  <si>
    <t>Kis- és középvállalkozások támogatása</t>
  </si>
  <si>
    <t>Közvilágítás</t>
  </si>
  <si>
    <t>Város- és községgazdálkodás (Közbeszerzés)</t>
  </si>
  <si>
    <t>Város- és községgazdálkodás (VKG)</t>
  </si>
  <si>
    <t>Város- és községgazdálkodás (Építés- és területfejlesztés)</t>
  </si>
  <si>
    <t>Önkormányzatok elszámolása (normatíva)</t>
  </si>
  <si>
    <t>Központi költségvetési befizetések</t>
  </si>
  <si>
    <t>Finanszírozási műveletek</t>
  </si>
  <si>
    <t>Működési- és felhalmozási tartalék</t>
  </si>
  <si>
    <t>Önkormányzatok nemzetközi kapcsolatai "HUSK"</t>
  </si>
  <si>
    <t>Önkormányzatok nemzetközi kapcsolatai (Testvérvárosi feladatok)</t>
  </si>
  <si>
    <t>Önkormányzatok nemzetközi kapcsolatai (Intraktív generációk)</t>
  </si>
  <si>
    <t>Önkormányzatok nemzetközi kapcsolatai (Pons Danubi)</t>
  </si>
  <si>
    <t>Közterület rendjének fenntartása (Polgárőrség, Rendőrség)</t>
  </si>
  <si>
    <t>Tűzoltás, műszaki mentés, katasztrófa elhárítás (Polgári védelem)</t>
  </si>
  <si>
    <t>Lakosság felkészítése, tájékoztatás, riasztás</t>
  </si>
  <si>
    <t>Óvodai nevelés, ellátás</t>
  </si>
  <si>
    <t>Alapfokú oktatás intézményeinek támogatása</t>
  </si>
  <si>
    <t>Alapfokú oktatás (Tanulmányi ösztöndíjak)</t>
  </si>
  <si>
    <t>Középfokú oktatás int. program támogatása</t>
  </si>
  <si>
    <t>Sport, szabadidős képzés (Tanuszoda)</t>
  </si>
  <si>
    <t>Pedagógiai szakmai szolgáltatás</t>
  </si>
  <si>
    <t>Egészségügyi intézmények programjainak támogatása</t>
  </si>
  <si>
    <t>Járóbeteg ellátás, fogorvosi ellátás támogatása</t>
  </si>
  <si>
    <t>Bentlakásos szociális ellátások intézményi programjainak támogatása</t>
  </si>
  <si>
    <t>Bentlakás nélküli szociális ellátás támogatása</t>
  </si>
  <si>
    <t>Lakásfenntartási támogatás (helyi)</t>
  </si>
  <si>
    <t>Ápolási díj (alanyi jogon)</t>
  </si>
  <si>
    <t>Ápolási díj (méltányossági alapon)</t>
  </si>
  <si>
    <t>Rendkívüli gyermekvédelmi ellátás</t>
  </si>
  <si>
    <t>Egyéb önkormányzati eseti ellátás (szociális ösztöndíj)</t>
  </si>
  <si>
    <t>Egyéb önkormányzati eseti pénbeni ellátások (életkezdési támogatás)</t>
  </si>
  <si>
    <t>Jelzőrendszeres házi segítségnyújtás</t>
  </si>
  <si>
    <t>Támogató szolgáltatás</t>
  </si>
  <si>
    <t>Otthonteremtési támogatás</t>
  </si>
  <si>
    <t>Közösségi szolgáltatás</t>
  </si>
  <si>
    <t>Önkormányzat által nyújtott lakástámogatás</t>
  </si>
  <si>
    <t>Önkormányzat ifjúsági kezdeményezések és programok (Gyermekbarát város)</t>
  </si>
  <si>
    <t>Teljesítés %-a</t>
  </si>
  <si>
    <t>Bérpótló juttatásra jogosultak hosszabb időtartamú közfoglalkoztatása</t>
  </si>
  <si>
    <t>Közművelődési tevékenységek és támogatásuk</t>
  </si>
  <si>
    <t>Utánpótlás-nevelési tevékenység támogatása (Sportiskola)</t>
  </si>
  <si>
    <t>Máshová nem sorolható egyéb sporttámogatás</t>
  </si>
  <si>
    <t>Szabadidős park, fürdő és strandszolgáltatás</t>
  </si>
  <si>
    <t>Közösségi társadalmi tevékenység (TDM)</t>
  </si>
  <si>
    <t>Köztemető fenntartás és működtetés</t>
  </si>
  <si>
    <t xml:space="preserve"> Kötelező összesen:</t>
  </si>
  <si>
    <t>Támogatási célú finanszírozási műveletek</t>
  </si>
  <si>
    <t>Rendszeres GYEV</t>
  </si>
  <si>
    <t>Környezetvédelmi csoportok támogatása</t>
  </si>
  <si>
    <t>HUSK 1301/2.1.1. Megújuló energia p.</t>
  </si>
  <si>
    <t>Fiatalok lendületben program</t>
  </si>
  <si>
    <t>Függő bevétel</t>
  </si>
  <si>
    <t>Függő kiadás</t>
  </si>
  <si>
    <t>1.a) + 1.b) Önk.Hivatal működtet.+Telep.üzemelt.kapcs.felad.támogatása együtt</t>
  </si>
  <si>
    <t>Önkormányzat elvárt bevétele: 2011.ip.űz.adóalap 0,5 %-a</t>
  </si>
  <si>
    <t>I.1.c)</t>
  </si>
  <si>
    <t>Erópadíj</t>
  </si>
  <si>
    <t xml:space="preserve">TÁMOP 1.1.2., illetve I. Munkahely Garancia címén átvett támogatás </t>
  </si>
  <si>
    <t>Tata, Kossuth tér városközpont értékmegőrző rehabilitációja KDOP–3.1.1/A–09-1f-2010-0001, Bercsényi u. 1. ingatlan funkcióváltásával kapcsolatban a 471/2013. (X.10.) Tata Kt. határozat alapján</t>
  </si>
  <si>
    <t>Közművek megvételére a Barina Kft-től (Molnár utca (hrsz.:460/87) csapadék csatorna, Molnár-Vitéz-Gázgyár u. szennyvíz csatorna) a 489/2013. (X.31.) tata Kt. határozat alapján</t>
  </si>
  <si>
    <t>1243 hrsz.-ú ingatlanon labdarúgó pálya kialakítás pályázat benyújtásához 491/2013. (X.31.) Tata Kt. határozat alapján</t>
  </si>
  <si>
    <t>Tatai 460/135 hrsz.-ú ingatlanból a lakóházak  által elfoglalt telekrész megszerzéséhez 509/2013. (X.31.) Tata Kt. határozat alapján</t>
  </si>
  <si>
    <t xml:space="preserve">Ingatlan vásárlás  </t>
  </si>
  <si>
    <t>Tatai Fürdő utcai néphagyományörző Óvoda - számítógép beszerzés</t>
  </si>
  <si>
    <t>Móricz Zsigmond Városi Könyvtár - nagy értékű tárgyi eszköz beszerzés</t>
  </si>
  <si>
    <t>Tatai Egészségügyi Alapellátó Intézmény - eszközök beszerzése</t>
  </si>
  <si>
    <t>Felújításhoz kapocsolódó ÁFA visszatérülés</t>
  </si>
  <si>
    <r>
      <t xml:space="preserve">2014. februári módosított előirányzat      </t>
    </r>
    <r>
      <rPr>
        <b/>
        <sz val="12"/>
        <rFont val="Times New Roman CE"/>
        <family val="0"/>
      </rPr>
      <t xml:space="preserve"> E Ft-ban</t>
    </r>
  </si>
  <si>
    <t>Fényes fürdő: Katonai tó lépcsője és partfala, valamint a zuhanyzó felújítása, szivattyú felújítás</t>
  </si>
  <si>
    <t>Gesztenyefasor 43. előtti járda felújítása - Általános tartalékból</t>
  </si>
  <si>
    <t>Beszámítás összege: I.1.a)-b) össz.támog.-ból levonva az elvárt bevételt</t>
  </si>
  <si>
    <t>I.1.d)</t>
  </si>
  <si>
    <t>Központosított támogatások</t>
  </si>
  <si>
    <t>Egyéb kötelező önkormányzati feladat támogatása, de legalább 3 Millió Ft</t>
  </si>
  <si>
    <t>I.1.</t>
  </si>
  <si>
    <t>841907</t>
  </si>
  <si>
    <t>A települési önkormányzatok működésének támogatása</t>
  </si>
  <si>
    <t>II.1.</t>
  </si>
  <si>
    <t>Óvodapedagógusok, és az óvodapedagógusok nevelő munkáját közvetlenül segítők bértámogatása</t>
  </si>
  <si>
    <t>Óvodapedagógusok bértámogatása - 8 hóra</t>
  </si>
  <si>
    <t>Óvodapedagógusok bértámogatása - 4 hóra</t>
  </si>
  <si>
    <t>Óvodapedagógusok munkáját közvetlenül segítők bértámogatása - 8 hóra</t>
  </si>
  <si>
    <t>Tatai Városgazda Kft részvételének támogatása a TÁMOP 1.1.2. jelű programon (2013. évi önerő)</t>
  </si>
  <si>
    <t>Felhalmozási céltartalék</t>
  </si>
  <si>
    <t>Dr. Gárdai Eü. Szolg. Bt-nek helyettesítési feladatok támogatására</t>
  </si>
  <si>
    <t>Általános tartalékból</t>
  </si>
  <si>
    <t>- Kisebbségekért - Pro Minoritate Aapítvány XVI. Csángó Bál programjának támogatása</t>
  </si>
  <si>
    <t>- Tatai Atlétikai Klub helyi autóversenyzés támogatása</t>
  </si>
  <si>
    <t>Lakossági közműfejlesztési támogatás</t>
  </si>
  <si>
    <t>Tata Város Közterület-felügyelete pénzeszközátadásainak és támogatásainak 2013. évi előirányzata (E Ft-ban)</t>
  </si>
  <si>
    <t>Otthonteremtési támogatás 2012. évi kifizetése utáni visszaigénylés</t>
  </si>
  <si>
    <t>Árpád-házi Szent Erzsébet Szakkórház és Rendelőintézet 2012. évi bérkompenzáció</t>
  </si>
  <si>
    <t>Tata Közvilágítás Hálózat korszerűsítése</t>
  </si>
  <si>
    <t>Intermodális közösségi közlekedési központ létrehozása Tatán KÖZOP-5.5.0-09-11-2011-0010</t>
  </si>
  <si>
    <t>Ökoturisztikai tanösvény kialakítása a Tatai Fényes Fürdő területén KDOP-2.1.1/B-10-2012-0046</t>
  </si>
  <si>
    <t>Hosszabb időtartamú közfoglalkoztatás</t>
  </si>
  <si>
    <t>Pénzmaradvány átvétel</t>
  </si>
  <si>
    <t>- Tatai Távhő Kft.</t>
  </si>
  <si>
    <t>Pénzmaradvány átadás</t>
  </si>
  <si>
    <t>Közvilágítás korszerűsítése pályázati dokumentáció és pályázati önerő KEOP-2012-5.5.0/A 23/2013. (I.31.) Tata Kt. határozat</t>
  </si>
  <si>
    <t>Angolkert felújítására KEOP-3.1.2/09-11 pályázat benyújtása 148/2013.(V.2.) Tata Kt. határozat</t>
  </si>
  <si>
    <t>1279 hrsz-ú 1593 m2-es ingatlan vételára 81/2013. (II.27.) Tata Kt. határozat</t>
  </si>
  <si>
    <t>Tata, 0328/8 és 0328/6 hrsz.-ú ingatlanok megvétele 97/2013. (II.27.) Tata Kt. határozat és 174/2013.(V.2.) Tata Kt. határozat</t>
  </si>
  <si>
    <t>Fényes-fürdő területére csúszda beszerzése 154/2013.(V.2.)Tata Kt. határozat</t>
  </si>
  <si>
    <t>Kajak-kenu tároló vételára (4008 hrsz) 173/2013.(V.2.)Tata Kt. határozat</t>
  </si>
  <si>
    <t>Gépkocsi beszerzés 107/2013.(III.28.) Tata Kt. határozat</t>
  </si>
  <si>
    <t>Kincseskert Óvoda - TÁMOP-3.4.2.A-11/2-2012-0004 Befogadó Élet-Tér Tatán pályázat</t>
  </si>
  <si>
    <t>Vaszary Villa felújítás 110/2013. (III.28.) Tata Kt. határozat</t>
  </si>
  <si>
    <t>Tatai Református Egyházközségnek a Hajnalcsillag Óvoda felújítására az 513/2013.(XI.28.) Tata Kt. határozata alapján</t>
  </si>
  <si>
    <t>Tata, Erzsébet téri (Szarka közi) útleszakadáshoz 144/2013. (V.2) Tata Kt. határozat</t>
  </si>
  <si>
    <t>Szivárvány Óvoda felújítására 145/2013.(V.2.) Tata Kt. határozat</t>
  </si>
  <si>
    <t>Önkormányzati bérlakások felújítása 113/2013. (III.28.) Tata Kt. határozat</t>
  </si>
  <si>
    <t>Klímabeszerzés a hivatal épületébe</t>
  </si>
  <si>
    <t>Óvodapedagógusok munkáját közvetlenül segítők bértámogatása - 4 hóra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</si>
  <si>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</si>
  <si>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</si>
  <si>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</si>
  <si>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Óvodaműködtetési támogatás 8 hóra</t>
  </si>
  <si>
    <t>Óvodaműködtetési támogatás 4 hóra</t>
  </si>
  <si>
    <t>Óvodaműködtetési támogatás összesen</t>
  </si>
  <si>
    <t xml:space="preserve">II.3. </t>
  </si>
  <si>
    <t>Ingyenes és kedvezményes gyermekétkeztetés támogatása</t>
  </si>
  <si>
    <t>II.3.a)</t>
  </si>
  <si>
    <t>Bölcsődében és a fogyatékos személyek nappali intézményében elhelyezett gyermekek étkeztetésének támogatása</t>
  </si>
  <si>
    <t>fő/év</t>
  </si>
  <si>
    <t>II.3.b)</t>
  </si>
  <si>
    <t>Óvodai, iskolai étkeztetés támogatása</t>
  </si>
  <si>
    <t>Ingyenes és kedvezményes gyermek étkeztetés támogatása összesen</t>
  </si>
  <si>
    <t>2.mell. II.</t>
  </si>
  <si>
    <t>A települési önkormányzatok egyes köznevelési feladatinak támogatása</t>
  </si>
  <si>
    <t>Községek összesen:</t>
  </si>
  <si>
    <t>III.1.</t>
  </si>
  <si>
    <r>
      <t xml:space="preserve">Szeptemberi módosított előirányzat      </t>
    </r>
    <r>
      <rPr>
        <b/>
        <sz val="12"/>
        <rFont val="Times New Roman CE"/>
        <family val="0"/>
      </rPr>
      <t xml:space="preserve"> E Ft-ban</t>
    </r>
  </si>
  <si>
    <t>A települési önkormányzatok kulturáli feladatainak támogatása</t>
  </si>
  <si>
    <t>Egyes jövedelempótló támogatások kiegészítése</t>
  </si>
  <si>
    <t>III.2.</t>
  </si>
  <si>
    <t>Hozzájárulás a pénzbeli szociális ellátásokhoz</t>
  </si>
  <si>
    <t>III.3.</t>
  </si>
  <si>
    <t>Egyes szociális és gyermekjóléti feladatok támogatása</t>
  </si>
  <si>
    <t>III.3.ab)</t>
  </si>
  <si>
    <t>Szociális és gyermekjóléti alapszolgáltatások általános feladatai (társult formában)</t>
  </si>
  <si>
    <t>III.3.ae)</t>
  </si>
  <si>
    <t>III.a)</t>
  </si>
  <si>
    <t>Szociális és gyermekjóléti alapszolgáltatások általános feladatai összesen</t>
  </si>
  <si>
    <t>III.3.c)</t>
  </si>
  <si>
    <t xml:space="preserve">Szociális étkeztetés 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</si>
  <si>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</si>
  <si>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</si>
  <si>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</si>
  <si>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</si>
  <si>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</si>
  <si>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</si>
  <si>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</si>
  <si>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</si>
  <si>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</si>
  <si>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Tatai Mecénás Közalapítvány (Gútay Galéria)</t>
  </si>
  <si>
    <t>Országos Városmarketing Versenyen való részvétel</t>
  </si>
  <si>
    <t>Tatai Lengyel Nemzetiségi Önkormányzatnak</t>
  </si>
  <si>
    <t>Bernády Közművelődési Egyletnek</t>
  </si>
  <si>
    <t>Rákóczi Szövetségnek</t>
  </si>
  <si>
    <t>Víz, Zene, Virág Egyesületnek Tata Városáért kitüntetés</t>
  </si>
  <si>
    <t xml:space="preserve"> - Mozgáskorlátozottak KEM-i Egyesületének működési célú támogatása</t>
  </si>
  <si>
    <t xml:space="preserve"> - Pötörke Népművészeti Egyesületnek - városi Folk nap</t>
  </si>
  <si>
    <t xml:space="preserve"> - Tata Város Nyugdíjas Klubnak</t>
  </si>
  <si>
    <t xml:space="preserve"> - Magyary Zoltán Népfőiskolai Társaságnak</t>
  </si>
  <si>
    <t>Vértes Volán Zrt. nyugdíjas bérlet árainak csökkentéséhez kozzájárulás</t>
  </si>
  <si>
    <t>TÁMOP 1.1.2. Első Munkahely Garancia</t>
  </si>
  <si>
    <t xml:space="preserve"> - Első Munkahely Garacia</t>
  </si>
  <si>
    <t>Gyermekek napközbeni ellátása</t>
  </si>
  <si>
    <t>III.3.ja)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</si>
  <si>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</si>
  <si>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</si>
  <si>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</si>
  <si>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</si>
  <si>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</si>
  <si>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</si>
  <si>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</si>
  <si>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</si>
  <si>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</si>
  <si>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</si>
  <si>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</si>
  <si>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ktári ellátási és közműv. Feladatokhoz</t>
  </si>
  <si>
    <t>2.mell. IV.</t>
  </si>
  <si>
    <t>ÁLLAMI TÁMOGATÁS MINDÖSSZESEN</t>
  </si>
  <si>
    <r>
      <t>8 hónapra</t>
    </r>
    <r>
      <rPr>
        <sz val="10"/>
        <rFont val="Times New Roman CE"/>
        <family val="1"/>
      </rPr>
      <t xml:space="preserve"> időarányos összeg (Ft)</t>
    </r>
  </si>
  <si>
    <r>
      <t>4 hónapra</t>
    </r>
    <r>
      <rPr>
        <sz val="10"/>
        <rFont val="Times New Roman CE"/>
        <family val="1"/>
      </rPr>
      <t xml:space="preserve"> időarányos összeg (Ft)</t>
    </r>
  </si>
  <si>
    <r>
      <t>Éves</t>
    </r>
    <r>
      <rPr>
        <b/>
        <sz val="12"/>
        <rFont val="Times New Roman CE"/>
        <family val="0"/>
      </rPr>
      <t xml:space="preserve"> közös hivatal miatt  Ft-ban</t>
    </r>
  </si>
  <si>
    <r>
      <t xml:space="preserve">Szoc. és gyermekjóléti alapszolg. általános feladatai - </t>
    </r>
    <r>
      <rPr>
        <b/>
        <sz val="12"/>
        <rFont val="Times New Roman CE"/>
        <family val="0"/>
      </rPr>
      <t>társulási kiegészítés</t>
    </r>
  </si>
  <si>
    <t>Tata Város Önkormányzata és az általa irányított költségvetési szervek 2013. évi bevételei forrásonként ( E Ft-ban)</t>
  </si>
  <si>
    <t>Bevételek</t>
  </si>
  <si>
    <t>Önkormányzat</t>
  </si>
  <si>
    <t>Tata Város Közterület-felügyelete</t>
  </si>
  <si>
    <t>Tatai Közös Önkormányzati Hivatal</t>
  </si>
  <si>
    <t>Intézmények Gazdasági Hivatala és a hozzá tartozó Intézményei</t>
  </si>
  <si>
    <t xml:space="preserve">Kuny Domokos Múzeum </t>
  </si>
  <si>
    <t>Összesen</t>
  </si>
  <si>
    <t>Eredeti</t>
  </si>
  <si>
    <t xml:space="preserve">Eredeti </t>
  </si>
  <si>
    <t>Önkormányzat működési bevétele</t>
  </si>
  <si>
    <t>Hatósági szolgáltatási díj</t>
  </si>
  <si>
    <t>Intézményi működési bevétel</t>
  </si>
  <si>
    <t>Egyéb működési bevétel (temető fenntartás, rendezvényszervezés, üdülés, intézményi térítési díjak stb.)</t>
  </si>
  <si>
    <t>Áfa bevétel</t>
  </si>
  <si>
    <t>Kamat bevétel</t>
  </si>
  <si>
    <t>Sajátos működési bevétel</t>
  </si>
  <si>
    <t>Helyi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</si>
  <si>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</si>
  <si>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</si>
  <si>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</si>
  <si>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</si>
  <si>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</si>
  <si>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(pénzbírság)</t>
  </si>
  <si>
    <t>Átengedett központi adók</t>
  </si>
  <si>
    <t xml:space="preserve"> - Gépjárműadó</t>
  </si>
  <si>
    <t xml:space="preserve"> - Termőföld bérbeadásból SZJA</t>
  </si>
  <si>
    <t>Közigazgatási és helyszíni bírság</t>
  </si>
  <si>
    <t>Talajterhelési díj</t>
  </si>
  <si>
    <t>Bérleti díj</t>
  </si>
  <si>
    <t>Lakbér</t>
  </si>
  <si>
    <t>Tata Város Önkormányzatának Európai uniós támogatással megvalósuló projektjeinek tervezett bevételei, kiadásai a beadott kérelmek alapján (E Ft-ban)</t>
  </si>
  <si>
    <t>EU-s projekt neve</t>
  </si>
  <si>
    <t>Azonosítója</t>
  </si>
  <si>
    <t>Támogatási szerződés kötés időpontja</t>
  </si>
  <si>
    <t>Megvalósítás tervezett ideje</t>
  </si>
  <si>
    <t>Források</t>
  </si>
  <si>
    <t>Kiadások 2013. évi teljesítése*</t>
  </si>
  <si>
    <t>Saját erő, az el nem számolható költségekkel együtt</t>
  </si>
  <si>
    <t>Saját erő 2013. évi teljesítés</t>
  </si>
  <si>
    <t>NFM EU Önerő-támogatás</t>
  </si>
  <si>
    <t>NFM EU Önerő-támogatás 2013. évi teljesítés</t>
  </si>
  <si>
    <t>EU-s forrás a támogatási szerződés szerint</t>
  </si>
  <si>
    <t>EU-s forrás  2013. évi teljesítése</t>
  </si>
  <si>
    <t xml:space="preserve">Tatai Angolpark rehabilitációja </t>
  </si>
  <si>
    <t>KDOP -2.1.1/B-2f-2009-0002</t>
  </si>
  <si>
    <t>Öreg-tavi Ökoturisztikai Központ kialakítása a csatlakozó kerékpárutak felújításával Tatán és a tematikus aktív turisztikai fejlesztések a kistérségben</t>
  </si>
  <si>
    <t>KDOP–2.1.1/B–09-2010-0002</t>
  </si>
  <si>
    <t>Ökoturisztikai tanösvény kialakítása a tatai Fényes-Fürdő területén</t>
  </si>
  <si>
    <t>KDOP-2.1.1/B-12-2012-0046</t>
  </si>
  <si>
    <t>Tata, Kossuth tér városközpont értékmegőrző rehabilitációja</t>
  </si>
  <si>
    <t>KDOP–3.1.1/A–09-1f-2010-0001</t>
  </si>
  <si>
    <t>Természetes vizes élőhely kialakítása a tatai Réti 8-as tó  rehabilitációjával</t>
  </si>
  <si>
    <t>KEOP–7.3.1.2/09-11-2011-0023</t>
  </si>
  <si>
    <t>A tatai Réti 8-as számú tó vízi élőhellyé történő rehabilitációja</t>
  </si>
  <si>
    <t>KEOP – 3.1.2/2F/09-11-2013-0014</t>
  </si>
  <si>
    <t>Tatabánya-Vértesszőlős-Tata településeket összekötő közlekedési célú kerékpárút építése az Általér mentén</t>
  </si>
  <si>
    <t>KÖZOP–3.2.0/c-08-2010-0003</t>
  </si>
  <si>
    <t>A munka és a magánélet összehangolását segítő helyi kezdeményezések megvalósítása Tata városában</t>
  </si>
  <si>
    <t>TÁMOP-2.4.5-12/3-2012-0028</t>
  </si>
  <si>
    <t>Intermodális közösségi közlekedési központ létrehozása Tatán</t>
  </si>
  <si>
    <t>KÖZOP–5.5.0-09-11-2011-0010</t>
  </si>
  <si>
    <t>Tata, közvilágítás hálózat korszerűsítése</t>
  </si>
  <si>
    <t>KEOP– 5.5.0/A.-12-2013-0229</t>
  </si>
  <si>
    <t>Tata Város Önkormányzatának szervezetfejlesztése</t>
  </si>
  <si>
    <t>ÁROP – 1.A.5-2013-2013-0003</t>
  </si>
  <si>
    <t xml:space="preserve">Közigazgatási partnerség építése Tatán </t>
  </si>
  <si>
    <t>ÁROP – 1.A.6-2013-2013-0007</t>
  </si>
  <si>
    <t xml:space="preserve">A tatai Angolkert természeti és kulturális örökségének helyreállítása </t>
  </si>
  <si>
    <t>KEOP – 3.1.2/2F/09-11-2013-0043</t>
  </si>
  <si>
    <t>Óvodafejlesztés</t>
  </si>
  <si>
    <t>TÁMOP-3.1.11-12/1.2</t>
  </si>
  <si>
    <t>Tartaléklistán</t>
  </si>
  <si>
    <t>-</t>
  </si>
  <si>
    <t>A munka és a magánélet összehangolása a Tatai Polgármesteri Hivatalban</t>
  </si>
  <si>
    <t>TÁMOP-2.4.5-12/7-2012-0705</t>
  </si>
  <si>
    <t>Folyamatban</t>
  </si>
  <si>
    <t>Egészségre nevelő és szemléletformáló életmódprogramok a Tatai Kistérségben</t>
  </si>
  <si>
    <t>TÁMOP-6.1.2/11/3-2012-0038</t>
  </si>
  <si>
    <t>KDOP-4.2.1/B-11/2012-0022</t>
  </si>
  <si>
    <t>Vár a könyvt@r - Együtt a kultúráért Tata és környékén</t>
  </si>
  <si>
    <t>TÁMOP-3.213-12/1-2012-0173</t>
  </si>
  <si>
    <t>Befogadó élettér Tatán</t>
  </si>
  <si>
    <t>TÁMOP-3.4.2.A/11-2-2012-0004</t>
  </si>
  <si>
    <t>* Forrás: a benyújtandó és benyújtott pályázatok részletes költségvetése és a projekt szintű analitikák</t>
  </si>
  <si>
    <t>Feladat megnevezése</t>
  </si>
  <si>
    <t>Várható befejezés</t>
  </si>
  <si>
    <t>Bekerülési költség</t>
  </si>
  <si>
    <t>Előző években kifizetett összeg</t>
  </si>
  <si>
    <t>2013. évre tervezett kifizetés összege</t>
  </si>
  <si>
    <t>2013-ban teljesített</t>
  </si>
  <si>
    <t>2014. évre tervezett kifizetés összege, zároltakkal együtt</t>
  </si>
  <si>
    <t>2015. évre és az azt követő időszakra tervezett kifizetés</t>
  </si>
  <si>
    <t>Természetes vizes élőhely kialakítása a tatai Réti 8-as tó  rehabilitációjával KEOP–7.3.1.2/09-11-2011-0023, KEOP – 3.1.2/2F/09-11-2013-0014</t>
  </si>
  <si>
    <t>Tata, Baji út és a Kertváros kerékpáros forgalmának komplex rendezése KDOP-4.2.2-11-2011-0008</t>
  </si>
  <si>
    <t>Tatabánya-Vértesszőlős-Tata településeket összekötő közlekedési célú kerékpárút építése az Általér mentén KÖZOP–3.2.0/c-08-2010-0003</t>
  </si>
  <si>
    <t>Napelemes rendszer kiépítése KEOP-4.2.0/A</t>
  </si>
  <si>
    <t>Tata, Deák Ferenc utca önkormányzati tulajdonú belterületi út fejlesztése KDOP-4.2.1/B-11/2012-0022</t>
  </si>
  <si>
    <t>Tata, közvilágítási hálózat korszerűsítése KEOP</t>
  </si>
  <si>
    <t>Adósságállomány törlesztő részlete a tárgyévet követő</t>
  </si>
  <si>
    <t>Hosszú lejáratú kötelezettségek</t>
  </si>
  <si>
    <t>1. évben</t>
  </si>
  <si>
    <t>2. évben</t>
  </si>
  <si>
    <t>3. évben</t>
  </si>
  <si>
    <t>4. évben</t>
  </si>
  <si>
    <t>5. évben</t>
  </si>
  <si>
    <t>6. és azt követő években</t>
  </si>
  <si>
    <t>Tartozások fejlesztési célú, devizában  kibocsátott kötvényből</t>
  </si>
  <si>
    <t>ebből: svájci frankban kibocsátott kötvény</t>
  </si>
  <si>
    <t>Devizában  felvett beruházási és fejlesztési hitelek</t>
  </si>
  <si>
    <t>ebből: svájci frankban felvett hitel</t>
  </si>
  <si>
    <t>Egyéb hosszú lejáratú, forintban fennálló kötelezettségek</t>
  </si>
  <si>
    <t>Hosszú lejáratú, forintban fennálló kötelezettségek évenkénti törlesztő részletei összesen:</t>
  </si>
  <si>
    <t>Hosszú lejáratú, devizában fennálló kötelezettségek évenkénti törlesztő részletei összesen: (svájci frank)</t>
  </si>
  <si>
    <t>Intézmények megnevezése</t>
  </si>
  <si>
    <t>Ellátottak átlagszáma (mutatószám)</t>
  </si>
  <si>
    <t xml:space="preserve">Működési kiadás </t>
  </si>
  <si>
    <t>Intézmény saját bevétele</t>
  </si>
  <si>
    <t>Önkormányzat állami támogatása</t>
  </si>
  <si>
    <t>Önkormányzati támogatás (saját forrás)</t>
  </si>
  <si>
    <t>Összes bevétel</t>
  </si>
  <si>
    <r>
      <t xml:space="preserve">1 főre jutó </t>
    </r>
    <r>
      <rPr>
        <b/>
        <u val="single"/>
        <sz val="10"/>
        <rFont val="Times New Roman"/>
        <family val="1"/>
      </rPr>
      <t>állami</t>
    </r>
    <r>
      <rPr>
        <b/>
        <sz val="10"/>
        <rFont val="Times New Roman"/>
        <family val="1"/>
      </rPr>
      <t xml:space="preserve"> támogatás</t>
    </r>
  </si>
  <si>
    <r>
      <t>1 főre jutó</t>
    </r>
    <r>
      <rPr>
        <b/>
        <u val="single"/>
        <sz val="10"/>
        <rFont val="Times New Roman"/>
        <family val="1"/>
      </rPr>
      <t xml:space="preserve"> önk</t>
    </r>
    <r>
      <rPr>
        <b/>
        <sz val="10"/>
        <rFont val="Times New Roman"/>
        <family val="1"/>
      </rPr>
      <t>. támogatás</t>
    </r>
  </si>
  <si>
    <t>összeg        E Ft</t>
  </si>
  <si>
    <t>%-a</t>
  </si>
  <si>
    <t>összeg (Ft)</t>
  </si>
  <si>
    <t>összeg              E Ft</t>
  </si>
  <si>
    <t>összeg            E Ft</t>
  </si>
  <si>
    <t>%</t>
  </si>
  <si>
    <t>E Ft/fő</t>
  </si>
  <si>
    <t>Bartók B.utcai Óvoda</t>
  </si>
  <si>
    <t>Óvodák mindösszesen:</t>
  </si>
  <si>
    <t>Szociális Alapellátó Intézmény:</t>
  </si>
  <si>
    <t xml:space="preserve">Tata Város Önkormányzatának </t>
  </si>
  <si>
    <t>ESZKÖZÖK</t>
  </si>
  <si>
    <t>Előző évi kv. beszámoló záró adatai</t>
  </si>
  <si>
    <t>Auditálási eltérések   (+-)</t>
  </si>
  <si>
    <t xml:space="preserve">Előző évi aud. egyszerűsített beszámoló </t>
  </si>
  <si>
    <t>Tárgyévi kv. beszámoló adatai</t>
  </si>
  <si>
    <r>
      <t xml:space="preserve">Auditálási eltérések     </t>
    </r>
    <r>
      <rPr>
        <i/>
        <sz val="10"/>
        <rFont val="Times New Roman CE"/>
        <family val="1"/>
      </rPr>
      <t>(+-)</t>
    </r>
    <r>
      <rPr>
        <sz val="10"/>
        <rFont val="Times New Roman CE"/>
        <family val="1"/>
      </rPr>
      <t xml:space="preserve">        </t>
    </r>
  </si>
  <si>
    <t>Tárgyévi auditált  egysz. besz. adatai</t>
  </si>
  <si>
    <t>A)</t>
  </si>
  <si>
    <t>BEFEKTETETT ESZKÖZÖK ÖSSZESEN</t>
  </si>
  <si>
    <t>I.</t>
  </si>
  <si>
    <t>Immateriális javak</t>
  </si>
  <si>
    <t>II.</t>
  </si>
  <si>
    <t>Tárgyi eszközök</t>
  </si>
  <si>
    <t>III.</t>
  </si>
  <si>
    <t>Befektetett pénzügyi eszközök</t>
  </si>
  <si>
    <t>Üzemeltetésre, kezelésre átadott eszközök</t>
  </si>
  <si>
    <t>B)</t>
  </si>
  <si>
    <t>FORGÓESZKÖZÖK ÖSSZESEN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</si>
  <si>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</si>
  <si>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</si>
  <si>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</si>
  <si>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</si>
  <si>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</si>
  <si>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</si>
  <si>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ESZKÖZÖK ÖSSZESEN</t>
  </si>
  <si>
    <t>FORRÁSOK</t>
  </si>
  <si>
    <t>D)</t>
  </si>
  <si>
    <t>1.</t>
  </si>
  <si>
    <t>Tartós tőke</t>
  </si>
  <si>
    <t xml:space="preserve">2. </t>
  </si>
  <si>
    <t>Tőkeváltozások</t>
  </si>
  <si>
    <t>3.</t>
  </si>
  <si>
    <t>Értékelési tartalék</t>
  </si>
  <si>
    <t>E)</t>
  </si>
  <si>
    <t>TARTALÉKOK ÖSSZESEN</t>
  </si>
  <si>
    <t>Költségvetési tartalékok</t>
  </si>
  <si>
    <t xml:space="preserve">II. </t>
  </si>
  <si>
    <t>Vállalkozási tartalékok</t>
  </si>
  <si>
    <t>F)</t>
  </si>
  <si>
    <t>KÖTELEZETTSÉGEK ÖSSZESEN</t>
  </si>
  <si>
    <t>Rövid lejáratú kötelezettségek</t>
  </si>
  <si>
    <t>Egyéb passzív pénzügyi elszámolások</t>
  </si>
  <si>
    <t>FORRÁSOK ÖSSZESEN</t>
  </si>
  <si>
    <t>2013. évi egyszerűsített mérlege</t>
  </si>
  <si>
    <t>Hosszú lejáratú kölcsönök nyújtása</t>
  </si>
  <si>
    <t>Rövid lejáratú kölcsönök nyújtása</t>
  </si>
  <si>
    <t>Hosszú lejáratú kölcsönök visszatérülése</t>
  </si>
  <si>
    <t>Rövid lejáratú kölcsönök visszatérülése</t>
  </si>
  <si>
    <t>Hosszú lejáratú hitelek felvétele</t>
  </si>
  <si>
    <t>Rövid lejáratú hitelek felvétele</t>
  </si>
  <si>
    <t>Pénzforgalom nélküli bevételek</t>
  </si>
  <si>
    <t>EGYSZERŰSÍTETT PÉNZMARADVÁNY-KIMUTATÁS ELŐÍRT TAGOLÁSA</t>
  </si>
  <si>
    <t>Előző évi  beszámoló záró adatai</t>
  </si>
  <si>
    <t>Auditálási eltérések      (+-)</t>
  </si>
  <si>
    <t>Tavalyi aud.  Egyszerűsített beszámoló záró adatai</t>
  </si>
  <si>
    <t>Tárgyévi kv. Beszámoló</t>
  </si>
  <si>
    <t>Auditálási eltérések        (+-)</t>
  </si>
  <si>
    <t>Tárgyévi aud. egyszerűsített beszámoló záró adatai</t>
  </si>
  <si>
    <t>2.</t>
  </si>
  <si>
    <t>Forgatási célú pénzügyi műveletek egyenlege</t>
  </si>
  <si>
    <t>Egyéb aktív és passzív pénzügyi elszámolások összevont záróegyenlege (+-)</t>
  </si>
  <si>
    <t>4.</t>
  </si>
  <si>
    <t>Előző év(ek)ben képzett tartalékok maradványa (-)</t>
  </si>
  <si>
    <t>5.</t>
  </si>
  <si>
    <t>6.</t>
  </si>
  <si>
    <t>Tárgyévi helyesbített pénzmaradvány (1+-2+-3-4-5)</t>
  </si>
  <si>
    <t>7.</t>
  </si>
  <si>
    <t>Finanszírozásból származó korrekciók (+-)</t>
  </si>
  <si>
    <t>8.</t>
  </si>
  <si>
    <t>Pénzmaradványt terhelő elvonások (+-)</t>
  </si>
  <si>
    <t>9.</t>
  </si>
  <si>
    <t>10.</t>
  </si>
  <si>
    <t>Vállalkozási maradványból alaptev. ellát-ra felhaszn. összeg</t>
  </si>
  <si>
    <t>11.</t>
  </si>
  <si>
    <t>Költségvetési pénzmaradványt külön jogszabály alapján mód. tétel (+,-)</t>
  </si>
  <si>
    <t>12.</t>
  </si>
  <si>
    <t>13.</t>
  </si>
  <si>
    <t>A 12-ből az Egészségbiztosítási alapból folyósított pénzmaradvány</t>
  </si>
  <si>
    <t>14.</t>
  </si>
  <si>
    <t>12-ből kötelezettségvállalással terhelt pénzmaradvány</t>
  </si>
  <si>
    <t>15.</t>
  </si>
  <si>
    <t>12-ből szabad pénzmaradvány</t>
  </si>
  <si>
    <t>Részesedések (E Ft-ban)</t>
  </si>
  <si>
    <t>Cég neve</t>
  </si>
  <si>
    <t>Névérték Ft 2012. 12.31-én</t>
  </si>
  <si>
    <t>Részesedések aránya %-ban</t>
  </si>
  <si>
    <t>Vértesi Erőmű Zrt.</t>
  </si>
  <si>
    <t>Tatai Távhőszolgáltató Kft.</t>
  </si>
  <si>
    <t>Tatai Városfejlesztő Kft.</t>
  </si>
  <si>
    <t>Közép-Duna Vidéke Hulladékgazdálkodási Vagyonkezelő és Közszolgáltató Zrt.</t>
  </si>
  <si>
    <t>Tatai Városkapu  Közhasznú  Zrt.</t>
  </si>
  <si>
    <t>Tatai Fényes Fürdő Kft.</t>
  </si>
  <si>
    <t>Kölcsönfelvétel</t>
  </si>
  <si>
    <t>Határozat száma</t>
  </si>
  <si>
    <t>Éve</t>
  </si>
  <si>
    <t>Összege</t>
  </si>
  <si>
    <t>Lejárat éve</t>
  </si>
  <si>
    <t>*</t>
  </si>
  <si>
    <t>Tatai Távhőszolgáltató Kft. összesen</t>
  </si>
  <si>
    <t>Tatai Fényes Fürdő Kft. összesen</t>
  </si>
  <si>
    <t xml:space="preserve">*a lejárat éve nem ismert, a társaság a visszafizetést a 2006. évi IV. törvény 120. § (4) bekezdése alapján akkor teljesíti, ha nyeresége keletkezik. </t>
  </si>
  <si>
    <t>Garancia- és kezességvállalási szerződés</t>
  </si>
  <si>
    <t>Száma</t>
  </si>
  <si>
    <t xml:space="preserve">Összege </t>
  </si>
  <si>
    <t>Működési bevételek</t>
  </si>
  <si>
    <t>Finanszírozási műveletek eredménye (42-20)</t>
  </si>
  <si>
    <t>Költségvetési pénzmaradvány (6+7+-8)</t>
  </si>
  <si>
    <t>Módosított pénzmaradvány (9+-10+-11)</t>
  </si>
  <si>
    <t>Egyszerűsített vállalkozási maradvány-kimutatás előírt tagolása</t>
  </si>
  <si>
    <t>D. Váll.tevék.módosított pénzforg-i váll.maradvány (C-7-8+-9)</t>
  </si>
  <si>
    <t>1. Vállalkozási tevékenység működési célú bevételei</t>
  </si>
  <si>
    <t>2. Vállalkozási tevékenység felhalmozási célú bevételei</t>
  </si>
  <si>
    <t xml:space="preserve">3. Vállalkozási maradványban figyelembe vehető finanszírozási bevételek </t>
  </si>
  <si>
    <t>A. Vállalkozási tevékenység szakfeladaton elszámolt bevételei (1+2+-3)</t>
  </si>
  <si>
    <t>4. Vállalkozási tevékenység működési célú kiadásai</t>
  </si>
  <si>
    <t>5. Vállalkozási tevékenység felhalmozási célú kiadásai</t>
  </si>
  <si>
    <t>6. Vállalkozási maradványban figyelembe vehető finanszírozási kiadások</t>
  </si>
  <si>
    <t>7. Vállalkozási tevékenységet terhelő értékcsökkenési leírás</t>
  </si>
  <si>
    <t>E. Vállalkozási tevékenységet terhelő befizetési kötelezettség</t>
  </si>
  <si>
    <t>F. Vállalkozási TARTALÉKBA helyezhető összeg (C-8-9-E)</t>
  </si>
  <si>
    <t>B. Vállalkozási tevékenység szakfeladaton elszámolt kiadásai (4+5+-6)</t>
  </si>
  <si>
    <t>C. Vállalkozási tevékenység pénzforgalmi maradványa (A-B)</t>
  </si>
  <si>
    <t xml:space="preserve">Előző évi  </t>
  </si>
  <si>
    <t xml:space="preserve">Tárgyévi </t>
  </si>
  <si>
    <t>Kiegyenlítő, függő, átfutó bevétel</t>
  </si>
  <si>
    <t xml:space="preserve"> - Tatai Távhőszolgáltató Kft. (Panel Program)</t>
  </si>
  <si>
    <t>Mód.(XII.18.)</t>
  </si>
  <si>
    <t>Teljesítés XII.31.</t>
  </si>
  <si>
    <t>Vaszary János Általános Iskola Jázmin utcai Tagintézménye - eszköz beszerzés</t>
  </si>
  <si>
    <t>Számítástechnikai eszközök és kisbusz beszerzés</t>
  </si>
  <si>
    <t>Járda és út felújítás</t>
  </si>
  <si>
    <t>Önkormámyzati intézmények 2013. évi pénzügyi ellátottsága (E Ft-ban)</t>
  </si>
  <si>
    <t>2013. év</t>
  </si>
  <si>
    <t xml:space="preserve">Kölcsöntartozások alakulása 2013. évben (E Ft-ban, kamat nélkül) </t>
  </si>
  <si>
    <t>SAJÁT TŐKE ÖSSZESEN</t>
  </si>
  <si>
    <t>Vállalkozási tevékenység pénzforgalmi maradványa (-)</t>
  </si>
  <si>
    <t xml:space="preserve">Pénzfor. maradványt külön jogszabály alapján módosító egyéb tétel </t>
  </si>
  <si>
    <t>8. Alaptev. ellát-ra felhasznált és felhasználni tervezett vállalkozási maradvány</t>
  </si>
  <si>
    <t>Lehívható központi támogatás  Mód. (III.13.)</t>
  </si>
  <si>
    <t xml:space="preserve">Névérték Ft 2013. 12.31-én </t>
  </si>
  <si>
    <t>Értékelés után könyvszerinti érték 2013.12.31-én</t>
  </si>
  <si>
    <t>Értékelés után könyvszerinti érték  2012. 12.31-én</t>
  </si>
  <si>
    <t>Bábolna Zrt. "felszámolás alatt"</t>
  </si>
  <si>
    <t>Tatai Városgazda Nonprofit Kft.</t>
  </si>
  <si>
    <t>Tata-Bérlakás Ingatlanfejlesztési és Beruházási Kft. "felszámolás alatt"</t>
  </si>
  <si>
    <t>Tartozás 
2013.12.31.</t>
  </si>
  <si>
    <t>Tartozás  
2013.12.31.</t>
  </si>
  <si>
    <t xml:space="preserve">      Garancia- és kezességvállalásból származó kötelezettségek alakulása 2013. évben (E Ft-ban)</t>
  </si>
  <si>
    <t>Szerződő bank, illetve egyéb szervezet</t>
  </si>
  <si>
    <t>2013. évi nyitó állomány (értékelés után)</t>
  </si>
  <si>
    <t xml:space="preserve">2013. 12.31-ig törlesztés </t>
  </si>
  <si>
    <t>2013.12.31-ig adósság- konszolidáció</t>
  </si>
  <si>
    <t>2013.12.31-i  állomány</t>
  </si>
  <si>
    <t>2013.  évi záró állomány (értékelés után)</t>
  </si>
  <si>
    <t>2014. évi törlesztő részlet</t>
  </si>
  <si>
    <t>éve</t>
  </si>
  <si>
    <t>összege</t>
  </si>
  <si>
    <t>Fejlesztési hitel kisbusz vásárlásához</t>
  </si>
  <si>
    <t>Bp. Autófin. Zrt.</t>
  </si>
  <si>
    <t>Hosszú lejáratú fejlesztési hitel (felhalmozási hiány fedezetére)</t>
  </si>
  <si>
    <t>MTB. Zrt.</t>
  </si>
  <si>
    <t>Hitelek összesen</t>
  </si>
  <si>
    <t>Fejlesztési célú kötvénykibocsátás</t>
  </si>
  <si>
    <t>MTB Zrt.</t>
  </si>
  <si>
    <t>Hosszú lejáratú hitelek és kötvény</t>
  </si>
  <si>
    <t>2013. december 31-én</t>
  </si>
  <si>
    <t>16/1. Önkormányzat adósságállományának évenkénti alakulása (E Ft)</t>
  </si>
  <si>
    <t>16/2. Kötvénykibocsátás és hitelek (E Ft-ban)</t>
  </si>
  <si>
    <t>16/3. Több éves kihatással járó beruházási és felújítási feladatok (E Ft)</t>
  </si>
  <si>
    <t>2013. évi Teljesítés       E Ft-ban</t>
  </si>
  <si>
    <t>Kistérségi Időskorúak Otthona feladatmutatóinak időarányos átvétele **</t>
  </si>
  <si>
    <t>** A Kistérségi Időskorúak Otthona állami támogatása módosított előirányzat és teljesítés adata is fél éves összeget tartalmaz. Az elszámolás az önkormányzat 2013. évi éves beszámolójában teljes éves támogatásra vonatkozott, ezért a táblázatban szereplő előirányzat és teljesítés között 6.323 E Ft eltérés helyett az Időskorúak Otthona felezése (1.303 * 2) miatt 7.626 E Ft a visszafizetendő tényleges összeg. A visszafizetendő összeg után késedelmi kamatot kell fizetni, amelynek számított összege 8 E Ft.</t>
  </si>
  <si>
    <t xml:space="preserve">Tatai Távhőszolgáltató Kft. </t>
  </si>
  <si>
    <t>V110892011</t>
  </si>
  <si>
    <t>1 ellátottra jutó kiadás (eFt/mutató)</t>
  </si>
  <si>
    <t>Finanszí-rozás</t>
  </si>
  <si>
    <t>285/2009.(IX.09.)</t>
  </si>
  <si>
    <t>281/2011.(VI.29.)</t>
  </si>
  <si>
    <t>390/2011.(IX.28.)</t>
  </si>
  <si>
    <t>258/2012.(VI.28.)</t>
  </si>
  <si>
    <t>387/2012.(X.31.)</t>
  </si>
  <si>
    <t>74/2013.(II.27.)</t>
  </si>
  <si>
    <t>314/2013.(VI.28.)</t>
  </si>
  <si>
    <t>507/2013.(X.31.)</t>
  </si>
  <si>
    <t>16/2009.(V.28.)</t>
  </si>
  <si>
    <t>37/2010.(II.10.)</t>
  </si>
  <si>
    <t>111/2010.(IV.28.)</t>
  </si>
  <si>
    <t>106/2011.(III.30.)</t>
  </si>
  <si>
    <t>275/2011.(VI.29.)</t>
  </si>
  <si>
    <t>387/2011.(IX.28.)</t>
  </si>
  <si>
    <t>78/2012.(III.29.)</t>
  </si>
  <si>
    <t>183/2012.(IV.26.)</t>
  </si>
  <si>
    <t>508/2012.(XII.20.)</t>
  </si>
  <si>
    <t>116/2013.(III.27.)</t>
  </si>
  <si>
    <t>Több éves kihatással járó feladatok</t>
  </si>
  <si>
    <t>Tata Város Önkormányzata</t>
  </si>
  <si>
    <t>1. Helyi adók, gépjárműadó:</t>
  </si>
  <si>
    <t>Önkormányzati döntés alapján (I-III)</t>
  </si>
  <si>
    <t>I. Adóelengedés</t>
  </si>
  <si>
    <t>1) Építményadó</t>
  </si>
  <si>
    <t xml:space="preserve"> - jövedelemhez kötött mentesség</t>
  </si>
  <si>
    <t xml:space="preserve"> - lakás célú 30 m2 alatti zártkerti építmény</t>
  </si>
  <si>
    <t>2.) Iparűzési adó:</t>
  </si>
  <si>
    <t xml:space="preserve"> - 2,5 M Ft alatti vállalkozási szintű adóalap</t>
  </si>
  <si>
    <t>Adóelengedés összesen:</t>
  </si>
  <si>
    <t>II. Adókedvezmény:</t>
  </si>
  <si>
    <t>Építményadó</t>
  </si>
  <si>
    <t xml:space="preserve"> - üdülő lakás adómértékkel</t>
  </si>
  <si>
    <t>Adókedvezmény összesen:</t>
  </si>
  <si>
    <t>III. Méltányossági eljárás keretében nyújtott adó,- pótlék,- és bírság elengedés, valamint fizetési könnyítés részletfizetésre, fizetési halasztásra vonatkozóan:</t>
  </si>
  <si>
    <t>Adóelengedés /az előírt adó méltányossági kérelem alapján elengedésre került/</t>
  </si>
  <si>
    <t>Részletfizetési kedvezmény:</t>
  </si>
  <si>
    <t xml:space="preserve"> - építményadó</t>
  </si>
  <si>
    <t xml:space="preserve"> - telekadó</t>
  </si>
  <si>
    <t xml:space="preserve"> - iparűzési adó</t>
  </si>
  <si>
    <t xml:space="preserve"> - gépjárműadó</t>
  </si>
  <si>
    <t xml:space="preserve"> - késedelmi pótlék, bírság</t>
  </si>
  <si>
    <t xml:space="preserve"> - talajterhelési díj</t>
  </si>
  <si>
    <t>Részletfizetési kedvezmény összesen:</t>
  </si>
  <si>
    <t>Fizetési halasztás:</t>
  </si>
  <si>
    <t xml:space="preserve"> - késedelmi pótlék</t>
  </si>
  <si>
    <t>Fizetési halasztás összesen:</t>
  </si>
  <si>
    <t>Összes közvetett támogatás helyi adóknál és gépjárműadónál:</t>
  </si>
  <si>
    <t>2. Ellátottak térítési díjának, kártérítésének méltányossági elengedése:</t>
  </si>
  <si>
    <t>Összes közvetett támogatás:</t>
  </si>
  <si>
    <t>(Vaszary Általános Iskola)</t>
  </si>
  <si>
    <t xml:space="preserve">  (Tatai Közös Önkormányzati Hivatal)</t>
  </si>
  <si>
    <t>4. Ingatlan hasznosításból származó bevételből nyújtott kedvezmény, mentesség:</t>
  </si>
  <si>
    <t>3. Lakossági lakásfelújítási kölcsönök elengedésének méltányossági elengedése:</t>
  </si>
  <si>
    <t xml:space="preserve">  </t>
  </si>
  <si>
    <t>6. Egyéb követelés elengedés</t>
  </si>
  <si>
    <t xml:space="preserve"> - Csatorna közműfejlesztési hozzájárulás</t>
  </si>
  <si>
    <t xml:space="preserve"> - Lakásértékesítés</t>
  </si>
  <si>
    <t xml:space="preserve"> - Önkormányzati kamatmentes kölcsön</t>
  </si>
  <si>
    <t xml:space="preserve"> - Rendszeres szociális segély</t>
  </si>
  <si>
    <t xml:space="preserve"> - Rendelkezésre állási támogtás</t>
  </si>
  <si>
    <t xml:space="preserve"> - Építkezési pénzbírság</t>
  </si>
  <si>
    <t xml:space="preserve"> - Végrehajtási bírság</t>
  </si>
  <si>
    <t xml:space="preserve"> - Végrehajtási költség</t>
  </si>
  <si>
    <t xml:space="preserve"> 2013. évben igénybevett közvetett támogatás összege (E Ft-ban)</t>
  </si>
  <si>
    <t>5. Foglalkoztatást növelő támogatás visszafizetésének elengedése</t>
  </si>
  <si>
    <t>Tata Város Polgármesteri Hivatala</t>
  </si>
  <si>
    <t>Tata Város Polgármesteri Hivatala által folyósított 2013. évi ellátások alakulásának részletezése</t>
  </si>
  <si>
    <t>Tata Város Polgármesteri Hivatala pénzeszközátadásainak és támogatásainak 2013. évi előirányzata (E Ft-ban)</t>
  </si>
  <si>
    <t>Tata Város Önkormányzatának 2013. évi</t>
  </si>
  <si>
    <t xml:space="preserve"> általános működésének és ágazati feladatainak támogatása (E Ft-ban)</t>
  </si>
  <si>
    <t>Átlagos statisztikai állományi létszám (fő)</t>
  </si>
  <si>
    <r>
      <t xml:space="preserve">Tata Város Polgármesteri Hivatala </t>
    </r>
    <r>
      <rPr>
        <sz val="10"/>
        <rFont val="Times New Roman"/>
        <family val="1"/>
      </rPr>
      <t>- közszoltálati tisztviselő</t>
    </r>
  </si>
  <si>
    <t>Az Önkormányzat tulajdonában álló üzletrészek, részesedések alakulása, valamint a 100 %-os önkormányzati tulajdonában lévő gazdálkodó szervezetek Önkormányzat felé fennálló kötelezettségeinek alakulása</t>
  </si>
  <si>
    <t>Egyéb kötelezettségek 2013. évben (E Ft-ban)</t>
  </si>
  <si>
    <t>11/2014.(I.30.)</t>
  </si>
  <si>
    <t>Tata Város Önkormányzatának 2013. évi költségvetési terve (szakfeladatok és kiemelt előirányzatok szerinti bontásban) ( E Ft-ban)</t>
  </si>
  <si>
    <t>Tata Város Polgármesteri Hivatalának 2013. évi költségvetési terve (szakfeladatok és kiemelt előirányzatok szerinti bontásban) ( E Ft-ban)</t>
  </si>
  <si>
    <t>Kiegyenlítő, függő, átfutó</t>
  </si>
  <si>
    <t xml:space="preserve"> Eredeti</t>
  </si>
  <si>
    <t>Módosított</t>
  </si>
  <si>
    <t xml:space="preserve"> előirányzat</t>
  </si>
  <si>
    <t xml:space="preserve"> 01.</t>
  </si>
  <si>
    <t xml:space="preserve"> Személyi juttatások</t>
  </si>
  <si>
    <t xml:space="preserve"> 02.</t>
  </si>
  <si>
    <t xml:space="preserve"> Munkaadót terhelő járulékok és szoc.hj.adó</t>
  </si>
  <si>
    <t xml:space="preserve"> 03.</t>
  </si>
  <si>
    <t xml:space="preserve"> Dologi kiadások</t>
  </si>
  <si>
    <t>04.</t>
  </si>
  <si>
    <t>Működ-i célú támogatásértékű kiad., egyéb támog.</t>
  </si>
  <si>
    <t>05.</t>
  </si>
  <si>
    <t>06.</t>
  </si>
  <si>
    <t xml:space="preserve"> Ellátottak pénzbeli juttatásai</t>
  </si>
  <si>
    <t xml:space="preserve"> 07.</t>
  </si>
  <si>
    <t xml:space="preserve"> Felújítás</t>
  </si>
  <si>
    <t xml:space="preserve"> 08.</t>
  </si>
  <si>
    <t>09.</t>
  </si>
  <si>
    <t>Felhalm-i célú támog. kiadások, egyéb támogatás</t>
  </si>
  <si>
    <t>Államházt-on kív. végleges felhalm. pénzeszk.átadás</t>
  </si>
  <si>
    <t>Költségvet.i pénzf. kiadások összes (01+…+12)</t>
  </si>
  <si>
    <t xml:space="preserve"> 14.</t>
  </si>
  <si>
    <t xml:space="preserve"> Hosszú lejáratú hitelek törlesztése</t>
  </si>
  <si>
    <t xml:space="preserve"> Rövid lejáratú hitelek törlesztése</t>
  </si>
  <si>
    <t>16.</t>
  </si>
  <si>
    <t>15-ből likvid hitelek kiadása</t>
  </si>
  <si>
    <t>17.</t>
  </si>
  <si>
    <t>Tartós hitelv. megtest. értékpapírok kiadásai</t>
  </si>
  <si>
    <t>18.</t>
  </si>
  <si>
    <t>Forgatási célú hitelv. megt. értékp. kiadásai</t>
  </si>
  <si>
    <t>19.</t>
  </si>
  <si>
    <t>Pénzügyi lízing tőketörlesztés miatti kiadása</t>
  </si>
  <si>
    <t>20.</t>
  </si>
  <si>
    <t xml:space="preserve"> Finanszírozási kiadások összesen (14+…+19)</t>
  </si>
  <si>
    <t>21.</t>
  </si>
  <si>
    <t>Pénzforgalmi kiadások (13+20)</t>
  </si>
  <si>
    <t xml:space="preserve"> 22.</t>
  </si>
  <si>
    <t xml:space="preserve"> Pénzforgalom nélküli kiadások</t>
  </si>
  <si>
    <t xml:space="preserve"> 23.</t>
  </si>
  <si>
    <t xml:space="preserve"> Kiegyenlítő, függő, átfutó kiadások </t>
  </si>
  <si>
    <t xml:space="preserve"> 24.</t>
  </si>
  <si>
    <t xml:space="preserve"> Kiadások összesen (21+…+23)</t>
  </si>
  <si>
    <t xml:space="preserve"> 25.</t>
  </si>
  <si>
    <t>26.</t>
  </si>
  <si>
    <t>Műk. célú támértékű bev., egyéb támogatások</t>
  </si>
  <si>
    <t>27.</t>
  </si>
  <si>
    <t>Államházt-on kív. végleges műk. pémzeszk. átv.</t>
  </si>
  <si>
    <t xml:space="preserve"> 28.</t>
  </si>
  <si>
    <t xml:space="preserve"> Felhalmozási és tőke jellegű bevételek</t>
  </si>
  <si>
    <t xml:space="preserve"> 29.</t>
  </si>
  <si>
    <t xml:space="preserve"> 28-ból Önkormányzatok sajátos felhalmozási és tőkebevételei</t>
  </si>
  <si>
    <t>30.</t>
  </si>
  <si>
    <t>Felhalm. célú támogatásért. bev., egyéb támog.</t>
  </si>
  <si>
    <t>31.</t>
  </si>
  <si>
    <t>Államházt-on kív. végleges felhal-i pénzeszkát.</t>
  </si>
  <si>
    <t xml:space="preserve"> 32.</t>
  </si>
  <si>
    <t xml:space="preserve"> Támogatások, kiegészítések</t>
  </si>
  <si>
    <t xml:space="preserve"> 33.</t>
  </si>
  <si>
    <t xml:space="preserve"> 32-ből Önkormányzatok költségvetési támogatása</t>
  </si>
  <si>
    <t>34.</t>
  </si>
  <si>
    <t xml:space="preserve"> 35.</t>
  </si>
  <si>
    <t xml:space="preserve"> 36.</t>
  </si>
  <si>
    <t>Költségvetési pénzforgalmi bevételek összesen (25+…+35)</t>
  </si>
  <si>
    <t>37.</t>
  </si>
  <si>
    <t>38.</t>
  </si>
  <si>
    <t>39.</t>
  </si>
  <si>
    <t>38-ból likvid hitelek bevétele</t>
  </si>
  <si>
    <t>40.</t>
  </si>
  <si>
    <t>Tartós hitelv. megtest. értékpapírok bevételei</t>
  </si>
  <si>
    <t>41.</t>
  </si>
  <si>
    <t>Forg. célú hitelviszonyt megt. értékpapírok bev.</t>
  </si>
  <si>
    <t xml:space="preserve"> 42.</t>
  </si>
  <si>
    <t xml:space="preserve"> Finanszírozási bevételek összesen (37+38+40+41)</t>
  </si>
  <si>
    <t xml:space="preserve"> 43.</t>
  </si>
  <si>
    <t xml:space="preserve"> Pénzforgalmi bevételek (36+42)</t>
  </si>
  <si>
    <t>44.</t>
  </si>
  <si>
    <t xml:space="preserve"> 45.</t>
  </si>
  <si>
    <t xml:space="preserve"> Kiegyenlítő, függő, átfutó bevételek </t>
  </si>
  <si>
    <t xml:space="preserve"> 46.</t>
  </si>
  <si>
    <t xml:space="preserve"> Bevételek összesen (43+…+45)</t>
  </si>
  <si>
    <t>47.</t>
  </si>
  <si>
    <t>Pénzforgalmi költségvet. bevételek és kiadások különbsége (36-13) költségvetési hiány -, költségvetési többlet +</t>
  </si>
  <si>
    <t>48.</t>
  </si>
  <si>
    <t>Igénybe vett tartalékokkal korrigált költs. bev. és kiad. különbsége (47+44-22) korrigált költségvetési hiány-, költségvetési többlet +)</t>
  </si>
  <si>
    <t>49.</t>
  </si>
  <si>
    <t>50.</t>
  </si>
  <si>
    <t>Aktív és passzív pü művel. egyenlege (45-23)</t>
  </si>
  <si>
    <t xml:space="preserve"> Sor- szám</t>
  </si>
  <si>
    <t>Államházt-on kív. végleges működési pénzeszk.átadás, tartalékok</t>
  </si>
  <si>
    <t xml:space="preserve"> Felhalmozási kiadások (fejújítás nélkül), tartalékok</t>
  </si>
  <si>
    <t>2013. évi egyszerűsített éves pénzforgalmi jelentése (E Ft-ban)</t>
  </si>
  <si>
    <t>Tatai Városkapu Közhasznú Zrt.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</si>
</sst>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[$¥€-2]\ #\ ##,000_);[Red]\([$€-2]\ #\ ##,000\)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10"/>
      <name val="Arial CE"/>
      <family val="0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MS Sans Serif"/>
      <family val="0"/>
    </font>
    <font>
      <sz val="10"/>
      <name val="Arial"/>
      <family val="2"/>
    </font>
    <font>
      <i/>
      <sz val="11"/>
      <name val="Times New Roman CE"/>
      <family val="0"/>
    </font>
    <font>
      <i/>
      <sz val="12"/>
      <name val="Times New Roman"/>
      <family val="1"/>
    </font>
    <font>
      <b/>
      <u val="single"/>
      <sz val="11"/>
      <name val="Times New Roman CE"/>
      <family val="0"/>
    </font>
    <font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E"/>
      <family val="0"/>
    </font>
    <font>
      <b/>
      <u val="double"/>
      <sz val="10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"/>
      <family val="1"/>
    </font>
    <font>
      <sz val="12"/>
      <name val="Arial CE"/>
      <family val="0"/>
    </font>
    <font>
      <b/>
      <sz val="9"/>
      <color indexed="8"/>
      <name val="Times New Roman"/>
      <family val="1"/>
    </font>
    <font>
      <sz val="8"/>
      <name val="Times New Roman CE"/>
      <family val="0"/>
    </font>
    <font>
      <i/>
      <sz val="11"/>
      <name val="Times New Roman"/>
      <family val="1"/>
    </font>
    <font>
      <i/>
      <sz val="10"/>
      <name val="Arial CE"/>
      <family val="2"/>
    </font>
    <font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40" borderId="1" applyNumberFormat="0" applyAlignment="0" applyProtection="0"/>
    <xf numFmtId="0" fontId="6" fillId="4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42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3" borderId="10" applyNumberFormat="0" applyFont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13" fillId="6" borderId="0" applyNumberFormat="0" applyBorder="0" applyAlignment="0" applyProtection="0"/>
    <xf numFmtId="0" fontId="16" fillId="48" borderId="11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0" applyNumberFormat="0" applyAlignment="0" applyProtection="0"/>
    <xf numFmtId="0" fontId="16" fillId="40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51" borderId="0" applyNumberFormat="0" applyBorder="0" applyAlignment="0" applyProtection="0"/>
    <xf numFmtId="0" fontId="5" fillId="48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631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3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7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3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Border="1" applyAlignment="1">
      <alignment/>
    </xf>
    <xf numFmtId="3" fontId="24" fillId="0" borderId="0" xfId="0" applyNumberFormat="1" applyFon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Continuous"/>
    </xf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9" fontId="24" fillId="0" borderId="13" xfId="0" applyNumberFormat="1" applyFont="1" applyBorder="1" applyAlignment="1">
      <alignment/>
    </xf>
    <xf numFmtId="49" fontId="24" fillId="0" borderId="14" xfId="0" applyNumberFormat="1" applyFont="1" applyBorder="1" applyAlignment="1">
      <alignment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4" xfId="0" applyFont="1" applyBorder="1" applyAlignment="1">
      <alignment/>
    </xf>
    <xf numFmtId="49" fontId="24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wrapText="1"/>
    </xf>
    <xf numFmtId="49" fontId="30" fillId="0" borderId="13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6" fillId="0" borderId="14" xfId="0" applyFont="1" applyBorder="1" applyAlignment="1">
      <alignment/>
    </xf>
    <xf numFmtId="49" fontId="24" fillId="0" borderId="13" xfId="0" applyNumberFormat="1" applyFont="1" applyBorder="1" applyAlignment="1">
      <alignment horizontal="left" wrapText="1"/>
    </xf>
    <xf numFmtId="49" fontId="24" fillId="0" borderId="14" xfId="0" applyNumberFormat="1" applyFont="1" applyBorder="1" applyAlignment="1">
      <alignment horizontal="left" wrapText="1"/>
    </xf>
    <xf numFmtId="3" fontId="22" fillId="0" borderId="14" xfId="0" applyNumberFormat="1" applyFont="1" applyBorder="1" applyAlignment="1">
      <alignment/>
    </xf>
    <xf numFmtId="0" fontId="22" fillId="0" borderId="21" xfId="0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4" fillId="0" borderId="22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4" fillId="0" borderId="0" xfId="107" applyFont="1">
      <alignment/>
      <protection/>
    </xf>
    <xf numFmtId="0" fontId="22" fillId="0" borderId="0" xfId="107" applyFont="1">
      <alignment/>
      <protection/>
    </xf>
    <xf numFmtId="0" fontId="21" fillId="0" borderId="0" xfId="107" applyFont="1">
      <alignment/>
      <protection/>
    </xf>
    <xf numFmtId="0" fontId="20" fillId="0" borderId="23" xfId="107" applyFont="1" applyBorder="1" applyAlignment="1">
      <alignment horizontal="center"/>
      <protection/>
    </xf>
    <xf numFmtId="0" fontId="20" fillId="0" borderId="16" xfId="107" applyFont="1" applyBorder="1" applyAlignment="1">
      <alignment horizontal="center"/>
      <protection/>
    </xf>
    <xf numFmtId="0" fontId="21" fillId="0" borderId="24" xfId="107" applyFont="1" applyBorder="1">
      <alignment/>
      <protection/>
    </xf>
    <xf numFmtId="3" fontId="21" fillId="0" borderId="25" xfId="107" applyNumberFormat="1" applyFont="1" applyBorder="1">
      <alignment/>
      <protection/>
    </xf>
    <xf numFmtId="0" fontId="21" fillId="0" borderId="26" xfId="107" applyFont="1" applyBorder="1">
      <alignment/>
      <protection/>
    </xf>
    <xf numFmtId="3" fontId="21" fillId="0" borderId="27" xfId="107" applyNumberFormat="1" applyFont="1" applyBorder="1">
      <alignment/>
      <protection/>
    </xf>
    <xf numFmtId="3" fontId="21" fillId="0" borderId="28" xfId="107" applyNumberFormat="1" applyFont="1" applyBorder="1">
      <alignment/>
      <protection/>
    </xf>
    <xf numFmtId="0" fontId="21" fillId="0" borderId="29" xfId="107" applyFont="1" applyBorder="1">
      <alignment/>
      <protection/>
    </xf>
    <xf numFmtId="0" fontId="33" fillId="0" borderId="29" xfId="107" applyFont="1" applyBorder="1">
      <alignment/>
      <protection/>
    </xf>
    <xf numFmtId="3" fontId="33" fillId="0" borderId="28" xfId="107" applyNumberFormat="1" applyFont="1" applyBorder="1">
      <alignment/>
      <protection/>
    </xf>
    <xf numFmtId="0" fontId="21" fillId="0" borderId="29" xfId="107" applyFont="1" applyBorder="1" applyAlignment="1">
      <alignment wrapText="1"/>
      <protection/>
    </xf>
    <xf numFmtId="3" fontId="21" fillId="0" borderId="28" xfId="107" applyNumberFormat="1" applyFont="1" applyBorder="1">
      <alignment/>
      <protection/>
    </xf>
    <xf numFmtId="3" fontId="33" fillId="0" borderId="30" xfId="107" applyNumberFormat="1" applyFont="1" applyBorder="1">
      <alignment/>
      <protection/>
    </xf>
    <xf numFmtId="0" fontId="21" fillId="0" borderId="31" xfId="107" applyFont="1" applyBorder="1">
      <alignment/>
      <protection/>
    </xf>
    <xf numFmtId="3" fontId="33" fillId="0" borderId="32" xfId="107" applyNumberFormat="1" applyFont="1" applyBorder="1">
      <alignment/>
      <protection/>
    </xf>
    <xf numFmtId="0" fontId="20" fillId="0" borderId="33" xfId="107" applyFont="1" applyBorder="1">
      <alignment/>
      <protection/>
    </xf>
    <xf numFmtId="3" fontId="20" fillId="0" borderId="34" xfId="107" applyNumberFormat="1" applyFont="1" applyBorder="1">
      <alignment/>
      <protection/>
    </xf>
    <xf numFmtId="0" fontId="24" fillId="0" borderId="0" xfId="107" applyFont="1" applyBorder="1">
      <alignment/>
      <protection/>
    </xf>
    <xf numFmtId="0" fontId="24" fillId="0" borderId="35" xfId="107" applyFont="1" applyBorder="1">
      <alignment/>
      <protection/>
    </xf>
    <xf numFmtId="0" fontId="20" fillId="0" borderId="24" xfId="107" applyFont="1" applyBorder="1">
      <alignment/>
      <protection/>
    </xf>
    <xf numFmtId="3" fontId="20" fillId="0" borderId="25" xfId="107" applyNumberFormat="1" applyFont="1" applyBorder="1">
      <alignment/>
      <protection/>
    </xf>
    <xf numFmtId="0" fontId="20" fillId="0" borderId="29" xfId="107" applyFont="1" applyBorder="1">
      <alignment/>
      <protection/>
    </xf>
    <xf numFmtId="3" fontId="20" fillId="0" borderId="28" xfId="107" applyNumberFormat="1" applyFont="1" applyBorder="1">
      <alignment/>
      <protection/>
    </xf>
    <xf numFmtId="0" fontId="20" fillId="0" borderId="33" xfId="0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0" borderId="34" xfId="107" applyNumberFormat="1" applyFont="1" applyBorder="1">
      <alignment/>
      <protection/>
    </xf>
    <xf numFmtId="0" fontId="21" fillId="0" borderId="0" xfId="107" applyFont="1" applyBorder="1">
      <alignment/>
      <protection/>
    </xf>
    <xf numFmtId="0" fontId="20" fillId="0" borderId="0" xfId="107" applyFont="1" applyAlignment="1" quotePrefix="1">
      <alignment horizontal="center"/>
      <protection/>
    </xf>
    <xf numFmtId="0" fontId="20" fillId="0" borderId="32" xfId="107" applyFont="1" applyBorder="1" applyAlignment="1">
      <alignment horizontal="centerContinuous"/>
      <protection/>
    </xf>
    <xf numFmtId="0" fontId="20" fillId="0" borderId="36" xfId="107" applyFont="1" applyBorder="1" applyAlignment="1">
      <alignment horizontal="centerContinuous"/>
      <protection/>
    </xf>
    <xf numFmtId="0" fontId="21" fillId="0" borderId="29" xfId="107" applyFont="1" applyBorder="1" applyAlignment="1">
      <alignment horizontal="left"/>
      <protection/>
    </xf>
    <xf numFmtId="0" fontId="33" fillId="0" borderId="29" xfId="107" applyFont="1" applyBorder="1">
      <alignment/>
      <protection/>
    </xf>
    <xf numFmtId="0" fontId="21" fillId="0" borderId="29" xfId="107" applyFont="1" applyBorder="1">
      <alignment/>
      <protection/>
    </xf>
    <xf numFmtId="0" fontId="24" fillId="0" borderId="0" xfId="107" applyFont="1">
      <alignment/>
      <protection/>
    </xf>
    <xf numFmtId="0" fontId="21" fillId="0" borderId="37" xfId="107" applyFont="1" applyBorder="1">
      <alignment/>
      <protection/>
    </xf>
    <xf numFmtId="0" fontId="21" fillId="0" borderId="37" xfId="107" applyFont="1" applyBorder="1">
      <alignment/>
      <protection/>
    </xf>
    <xf numFmtId="0" fontId="33" fillId="0" borderId="37" xfId="107" applyFont="1" applyBorder="1">
      <alignment/>
      <protection/>
    </xf>
    <xf numFmtId="0" fontId="20" fillId="0" borderId="33" xfId="107" applyFont="1" applyBorder="1">
      <alignment/>
      <protection/>
    </xf>
    <xf numFmtId="0" fontId="20" fillId="0" borderId="26" xfId="107" applyFont="1" applyBorder="1">
      <alignment/>
      <protection/>
    </xf>
    <xf numFmtId="0" fontId="22" fillId="0" borderId="26" xfId="107" applyFont="1" applyBorder="1">
      <alignment/>
      <protection/>
    </xf>
    <xf numFmtId="0" fontId="20" fillId="0" borderId="29" xfId="107" applyFont="1" applyBorder="1">
      <alignment/>
      <protection/>
    </xf>
    <xf numFmtId="0" fontId="21" fillId="0" borderId="29" xfId="107" applyFont="1" applyBorder="1" applyAlignment="1">
      <alignment wrapText="1"/>
      <protection/>
    </xf>
    <xf numFmtId="0" fontId="20" fillId="0" borderId="37" xfId="107" applyFont="1" applyBorder="1" applyAlignment="1">
      <alignment wrapText="1"/>
      <protection/>
    </xf>
    <xf numFmtId="0" fontId="20" fillId="0" borderId="29" xfId="107" applyFont="1" applyBorder="1" applyAlignment="1">
      <alignment wrapText="1"/>
      <protection/>
    </xf>
    <xf numFmtId="0" fontId="20" fillId="0" borderId="36" xfId="107" applyFont="1" applyBorder="1">
      <alignment/>
      <protection/>
    </xf>
    <xf numFmtId="0" fontId="20" fillId="0" borderId="0" xfId="107" applyFont="1" applyBorder="1">
      <alignment/>
      <protection/>
    </xf>
    <xf numFmtId="3" fontId="20" fillId="0" borderId="0" xfId="107" applyNumberFormat="1" applyFont="1" applyBorder="1">
      <alignment/>
      <protection/>
    </xf>
    <xf numFmtId="0" fontId="35" fillId="0" borderId="0" xfId="107" applyFont="1">
      <alignment/>
      <protection/>
    </xf>
    <xf numFmtId="3" fontId="35" fillId="0" borderId="0" xfId="107" applyNumberFormat="1" applyFont="1" applyAlignment="1">
      <alignment/>
      <protection/>
    </xf>
    <xf numFmtId="3" fontId="35" fillId="0" borderId="0" xfId="107" applyNumberFormat="1" applyFont="1">
      <alignment/>
      <protection/>
    </xf>
    <xf numFmtId="0" fontId="40" fillId="0" borderId="0" xfId="106" applyFont="1" applyFill="1" applyBorder="1" applyAlignment="1">
      <alignment horizontal="center" vertical="center"/>
      <protection/>
    </xf>
    <xf numFmtId="0" fontId="37" fillId="0" borderId="38" xfId="106" applyFont="1" applyFill="1" applyBorder="1" applyAlignment="1">
      <alignment horizontal="center" vertical="center" wrapText="1"/>
      <protection/>
    </xf>
    <xf numFmtId="0" fontId="37" fillId="0" borderId="39" xfId="106" applyFont="1" applyFill="1" applyBorder="1" applyAlignment="1">
      <alignment horizontal="center" vertical="center"/>
      <protection/>
    </xf>
    <xf numFmtId="0" fontId="32" fillId="0" borderId="0" xfId="103">
      <alignment/>
      <protection/>
    </xf>
    <xf numFmtId="3" fontId="32" fillId="0" borderId="0" xfId="103" applyNumberFormat="1">
      <alignment/>
      <protection/>
    </xf>
    <xf numFmtId="0" fontId="23" fillId="0" borderId="15" xfId="103" applyFont="1" applyBorder="1">
      <alignment/>
      <protection/>
    </xf>
    <xf numFmtId="3" fontId="23" fillId="0" borderId="40" xfId="103" applyNumberFormat="1" applyFont="1" applyBorder="1" applyAlignment="1">
      <alignment horizontal="center"/>
      <protection/>
    </xf>
    <xf numFmtId="0" fontId="39" fillId="0" borderId="0" xfId="103" applyFont="1">
      <alignment/>
      <protection/>
    </xf>
    <xf numFmtId="0" fontId="38" fillId="0" borderId="13" xfId="103" applyFont="1" applyBorder="1">
      <alignment/>
      <protection/>
    </xf>
    <xf numFmtId="3" fontId="38" fillId="0" borderId="14" xfId="103" applyNumberFormat="1" applyFont="1" applyBorder="1">
      <alignment/>
      <protection/>
    </xf>
    <xf numFmtId="0" fontId="23" fillId="0" borderId="13" xfId="103" applyFont="1" applyBorder="1">
      <alignment/>
      <protection/>
    </xf>
    <xf numFmtId="3" fontId="23" fillId="0" borderId="14" xfId="103" applyNumberFormat="1" applyFont="1" applyBorder="1">
      <alignment/>
      <protection/>
    </xf>
    <xf numFmtId="0" fontId="32" fillId="0" borderId="0" xfId="103" applyFont="1">
      <alignment/>
      <protection/>
    </xf>
    <xf numFmtId="0" fontId="38" fillId="0" borderId="13" xfId="103" applyFont="1" applyBorder="1" applyAlignment="1">
      <alignment wrapText="1"/>
      <protection/>
    </xf>
    <xf numFmtId="0" fontId="32" fillId="0" borderId="0" xfId="103" applyFont="1">
      <alignment/>
      <protection/>
    </xf>
    <xf numFmtId="0" fontId="42" fillId="0" borderId="21" xfId="103" applyFont="1" applyBorder="1">
      <alignment/>
      <protection/>
    </xf>
    <xf numFmtId="3" fontId="32" fillId="0" borderId="0" xfId="103" applyNumberFormat="1" applyAlignment="1">
      <alignment horizontal="left"/>
      <protection/>
    </xf>
    <xf numFmtId="3" fontId="38" fillId="0" borderId="13" xfId="103" applyNumberFormat="1" applyFont="1" applyBorder="1" applyAlignment="1">
      <alignment horizontal="left"/>
      <protection/>
    </xf>
    <xf numFmtId="0" fontId="38" fillId="0" borderId="0" xfId="103" applyFont="1">
      <alignment/>
      <protection/>
    </xf>
    <xf numFmtId="3" fontId="23" fillId="0" borderId="13" xfId="103" applyNumberFormat="1" applyFont="1" applyBorder="1" applyAlignment="1">
      <alignment horizontal="left"/>
      <protection/>
    </xf>
    <xf numFmtId="3" fontId="38" fillId="0" borderId="0" xfId="103" applyNumberFormat="1" applyFont="1">
      <alignment/>
      <protection/>
    </xf>
    <xf numFmtId="0" fontId="38" fillId="0" borderId="0" xfId="103" applyFont="1">
      <alignment/>
      <protection/>
    </xf>
    <xf numFmtId="3" fontId="32" fillId="0" borderId="14" xfId="103" applyNumberFormat="1" applyBorder="1">
      <alignment/>
      <protection/>
    </xf>
    <xf numFmtId="3" fontId="24" fillId="0" borderId="14" xfId="0" applyNumberFormat="1" applyFont="1" applyBorder="1" applyAlignment="1">
      <alignment horizontal="right" vertical="center"/>
    </xf>
    <xf numFmtId="3" fontId="24" fillId="0" borderId="14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0" fontId="22" fillId="0" borderId="40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3" fontId="22" fillId="0" borderId="22" xfId="0" applyNumberFormat="1" applyFont="1" applyBorder="1" applyAlignment="1">
      <alignment horizontal="right"/>
    </xf>
    <xf numFmtId="0" fontId="30" fillId="0" borderId="0" xfId="103" applyFont="1" applyBorder="1" applyAlignment="1">
      <alignment horizontal="center"/>
      <protection/>
    </xf>
    <xf numFmtId="0" fontId="24" fillId="0" borderId="0" xfId="103" applyFont="1">
      <alignment/>
      <protection/>
    </xf>
    <xf numFmtId="0" fontId="22" fillId="0" borderId="15" xfId="103" applyFont="1" applyBorder="1" applyAlignment="1">
      <alignment vertical="top" wrapText="1"/>
      <protection/>
    </xf>
    <xf numFmtId="0" fontId="22" fillId="0" borderId="40" xfId="103" applyFont="1" applyBorder="1" applyAlignment="1">
      <alignment horizontal="center"/>
      <protection/>
    </xf>
    <xf numFmtId="0" fontId="44" fillId="0" borderId="13" xfId="103" applyFont="1" applyBorder="1">
      <alignment/>
      <protection/>
    </xf>
    <xf numFmtId="3" fontId="44" fillId="0" borderId="14" xfId="103" applyNumberFormat="1" applyFont="1" applyBorder="1">
      <alignment/>
      <protection/>
    </xf>
    <xf numFmtId="0" fontId="45" fillId="0" borderId="0" xfId="103" applyFont="1">
      <alignment/>
      <protection/>
    </xf>
    <xf numFmtId="0" fontId="23" fillId="0" borderId="13" xfId="103" applyFont="1" applyBorder="1" applyAlignment="1">
      <alignment vertical="top" wrapText="1"/>
      <protection/>
    </xf>
    <xf numFmtId="0" fontId="23" fillId="0" borderId="14" xfId="103" applyFont="1" applyBorder="1" applyAlignment="1">
      <alignment horizontal="center"/>
      <protection/>
    </xf>
    <xf numFmtId="0" fontId="23" fillId="0" borderId="21" xfId="103" applyFont="1" applyBorder="1">
      <alignment/>
      <protection/>
    </xf>
    <xf numFmtId="3" fontId="23" fillId="0" borderId="22" xfId="103" applyNumberFormat="1" applyFont="1" applyBorder="1">
      <alignment/>
      <protection/>
    </xf>
    <xf numFmtId="0" fontId="23" fillId="0" borderId="19" xfId="103" applyFont="1" applyBorder="1">
      <alignment/>
      <protection/>
    </xf>
    <xf numFmtId="0" fontId="22" fillId="0" borderId="20" xfId="103" applyFont="1" applyBorder="1" applyAlignment="1">
      <alignment horizontal="center"/>
      <protection/>
    </xf>
    <xf numFmtId="0" fontId="38" fillId="0" borderId="41" xfId="103" applyFont="1" applyBorder="1">
      <alignment/>
      <protection/>
    </xf>
    <xf numFmtId="3" fontId="38" fillId="0" borderId="42" xfId="103" applyNumberFormat="1" applyFont="1" applyBorder="1">
      <alignment/>
      <protection/>
    </xf>
    <xf numFmtId="0" fontId="44" fillId="0" borderId="21" xfId="103" applyFont="1" applyBorder="1">
      <alignment/>
      <protection/>
    </xf>
    <xf numFmtId="3" fontId="44" fillId="0" borderId="22" xfId="103" applyNumberFormat="1" applyFont="1" applyBorder="1">
      <alignment/>
      <protection/>
    </xf>
    <xf numFmtId="0" fontId="45" fillId="0" borderId="0" xfId="103" applyFont="1">
      <alignment/>
      <protection/>
    </xf>
    <xf numFmtId="0" fontId="22" fillId="0" borderId="14" xfId="103" applyFont="1" applyBorder="1" applyAlignment="1">
      <alignment horizontal="center"/>
      <protection/>
    </xf>
    <xf numFmtId="3" fontId="39" fillId="0" borderId="0" xfId="103" applyNumberFormat="1" applyFont="1" applyAlignment="1">
      <alignment horizontal="left"/>
      <protection/>
    </xf>
    <xf numFmtId="3" fontId="43" fillId="0" borderId="0" xfId="103" applyNumberFormat="1" applyFont="1" applyAlignment="1">
      <alignment horizontal="left"/>
      <protection/>
    </xf>
    <xf numFmtId="0" fontId="22" fillId="0" borderId="0" xfId="103" applyFont="1">
      <alignment/>
      <protection/>
    </xf>
    <xf numFmtId="0" fontId="22" fillId="0" borderId="0" xfId="103" applyFont="1" applyBorder="1" applyAlignment="1">
      <alignment horizontal="center"/>
      <protection/>
    </xf>
    <xf numFmtId="0" fontId="32" fillId="0" borderId="0" xfId="103" applyFont="1" applyAlignment="1">
      <alignment/>
      <protection/>
    </xf>
    <xf numFmtId="0" fontId="23" fillId="0" borderId="15" xfId="103" applyFont="1" applyBorder="1" applyAlignment="1">
      <alignment horizontal="left"/>
      <protection/>
    </xf>
    <xf numFmtId="0" fontId="23" fillId="0" borderId="40" xfId="103" applyFont="1" applyBorder="1" applyAlignment="1">
      <alignment horizontal="center"/>
      <protection/>
    </xf>
    <xf numFmtId="0" fontId="23" fillId="0" borderId="13" xfId="103" applyFont="1" applyBorder="1" applyAlignment="1">
      <alignment horizontal="left"/>
      <protection/>
    </xf>
    <xf numFmtId="3" fontId="32" fillId="0" borderId="13" xfId="103" applyNumberFormat="1" applyBorder="1" applyAlignment="1">
      <alignment horizontal="left"/>
      <protection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justify" vertical="top" wrapText="1"/>
    </xf>
    <xf numFmtId="2" fontId="38" fillId="0" borderId="45" xfId="0" applyNumberFormat="1" applyFont="1" applyBorder="1" applyAlignment="1">
      <alignment horizontal="center" vertical="top" wrapText="1"/>
    </xf>
    <xf numFmtId="0" fontId="38" fillId="0" borderId="13" xfId="0" applyFont="1" applyBorder="1" applyAlignment="1">
      <alignment horizontal="justify" vertical="top" wrapText="1"/>
    </xf>
    <xf numFmtId="2" fontId="38" fillId="0" borderId="46" xfId="0" applyNumberFormat="1" applyFont="1" applyBorder="1" applyAlignment="1">
      <alignment horizontal="center" vertical="top" wrapText="1"/>
    </xf>
    <xf numFmtId="0" fontId="38" fillId="0" borderId="19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justify" vertical="top" wrapText="1"/>
    </xf>
    <xf numFmtId="2" fontId="44" fillId="0" borderId="45" xfId="0" applyNumberFormat="1" applyFont="1" applyBorder="1" applyAlignment="1">
      <alignment horizontal="center" vertical="top" wrapText="1"/>
    </xf>
    <xf numFmtId="2" fontId="38" fillId="0" borderId="47" xfId="0" applyNumberFormat="1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9" fillId="0" borderId="0" xfId="0" applyFont="1" applyAlignment="1">
      <alignment horizontal="justify"/>
    </xf>
    <xf numFmtId="165" fontId="38" fillId="0" borderId="0" xfId="0" applyNumberFormat="1" applyFont="1" applyAlignment="1">
      <alignment/>
    </xf>
    <xf numFmtId="0" fontId="36" fillId="0" borderId="0" xfId="0" applyFont="1" applyAlignment="1">
      <alignment horizontal="justify"/>
    </xf>
    <xf numFmtId="0" fontId="38" fillId="0" borderId="19" xfId="0" applyFont="1" applyBorder="1" applyAlignment="1">
      <alignment/>
    </xf>
    <xf numFmtId="0" fontId="38" fillId="0" borderId="13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Alignment="1">
      <alignment/>
    </xf>
    <xf numFmtId="2" fontId="38" fillId="0" borderId="14" xfId="0" applyNumberFormat="1" applyFont="1" applyBorder="1" applyAlignment="1">
      <alignment horizontal="center" vertical="top" wrapText="1"/>
    </xf>
    <xf numFmtId="0" fontId="38" fillId="0" borderId="19" xfId="0" applyFont="1" applyBorder="1" applyAlignment="1" quotePrefix="1">
      <alignment horizontal="justify" vertical="top" wrapText="1"/>
    </xf>
    <xf numFmtId="0" fontId="25" fillId="0" borderId="13" xfId="0" applyFont="1" applyBorder="1" applyAlignment="1">
      <alignment vertical="top" wrapText="1"/>
    </xf>
    <xf numFmtId="0" fontId="38" fillId="0" borderId="0" xfId="102" applyFont="1" applyFill="1">
      <alignment/>
      <protection/>
    </xf>
    <xf numFmtId="0" fontId="38" fillId="0" borderId="0" xfId="102" applyFont="1" applyFill="1" applyAlignment="1">
      <alignment horizontal="right"/>
      <protection/>
    </xf>
    <xf numFmtId="0" fontId="50" fillId="0" borderId="0" xfId="102" applyFont="1" applyFill="1" applyAlignment="1">
      <alignment horizontal="center"/>
      <protection/>
    </xf>
    <xf numFmtId="0" fontId="38" fillId="0" borderId="0" xfId="102" applyFont="1" applyFill="1" applyAlignment="1">
      <alignment horizontal="center"/>
      <protection/>
    </xf>
    <xf numFmtId="3" fontId="38" fillId="0" borderId="0" xfId="102" applyNumberFormat="1" applyFont="1" applyFill="1" applyAlignment="1">
      <alignment horizontal="right"/>
      <protection/>
    </xf>
    <xf numFmtId="3" fontId="38" fillId="0" borderId="0" xfId="102" applyNumberFormat="1" applyFont="1" applyFill="1">
      <alignment/>
      <protection/>
    </xf>
    <xf numFmtId="3" fontId="23" fillId="0" borderId="0" xfId="102" applyNumberFormat="1" applyFont="1" applyFill="1" applyAlignment="1">
      <alignment horizontal="right"/>
      <protection/>
    </xf>
    <xf numFmtId="0" fontId="38" fillId="0" borderId="48" xfId="102" applyFont="1" applyFill="1" applyBorder="1">
      <alignment/>
      <protection/>
    </xf>
    <xf numFmtId="0" fontId="23" fillId="0" borderId="49" xfId="98" applyFont="1" applyFill="1" applyBorder="1" applyAlignment="1">
      <alignment horizontal="center" vertical="center"/>
      <protection/>
    </xf>
    <xf numFmtId="0" fontId="23" fillId="0" borderId="49" xfId="102" applyFont="1" applyFill="1" applyBorder="1" applyAlignment="1">
      <alignment horizontal="center" vertical="center"/>
      <protection/>
    </xf>
    <xf numFmtId="0" fontId="23" fillId="0" borderId="49" xfId="102" applyFont="1" applyFill="1" applyBorder="1" applyAlignment="1">
      <alignment horizontal="center" vertical="center" wrapText="1"/>
      <protection/>
    </xf>
    <xf numFmtId="3" fontId="23" fillId="0" borderId="50" xfId="102" applyNumberFormat="1" applyFont="1" applyFill="1" applyBorder="1" applyAlignment="1">
      <alignment horizontal="center" vertical="center" wrapText="1"/>
      <protection/>
    </xf>
    <xf numFmtId="0" fontId="38" fillId="0" borderId="51" xfId="102" applyFont="1" applyFill="1" applyBorder="1">
      <alignment/>
      <protection/>
    </xf>
    <xf numFmtId="0" fontId="50" fillId="0" borderId="51" xfId="102" applyFont="1" applyFill="1" applyBorder="1">
      <alignment/>
      <protection/>
    </xf>
    <xf numFmtId="3" fontId="23" fillId="0" borderId="38" xfId="102" applyNumberFormat="1" applyFont="1" applyFill="1" applyBorder="1">
      <alignment/>
      <protection/>
    </xf>
    <xf numFmtId="3" fontId="38" fillId="0" borderId="38" xfId="102" applyNumberFormat="1" applyFont="1" applyFill="1" applyBorder="1">
      <alignment/>
      <protection/>
    </xf>
    <xf numFmtId="3" fontId="38" fillId="0" borderId="52" xfId="102" applyNumberFormat="1" applyFont="1" applyFill="1" applyBorder="1">
      <alignment/>
      <protection/>
    </xf>
    <xf numFmtId="3" fontId="38" fillId="0" borderId="38" xfId="102" applyNumberFormat="1" applyFont="1" applyFill="1" applyBorder="1" applyAlignment="1">
      <alignment horizontal="right"/>
      <protection/>
    </xf>
    <xf numFmtId="0" fontId="38" fillId="0" borderId="38" xfId="102" applyFont="1" applyFill="1" applyBorder="1" applyAlignment="1">
      <alignment horizontal="right"/>
      <protection/>
    </xf>
    <xf numFmtId="3" fontId="38" fillId="0" borderId="52" xfId="102" applyNumberFormat="1" applyFont="1" applyFill="1" applyBorder="1" applyAlignment="1">
      <alignment horizontal="right"/>
      <protection/>
    </xf>
    <xf numFmtId="0" fontId="50" fillId="0" borderId="0" xfId="102" applyFont="1" applyFill="1">
      <alignment/>
      <protection/>
    </xf>
    <xf numFmtId="3" fontId="23" fillId="0" borderId="38" xfId="102" applyNumberFormat="1" applyFont="1" applyFill="1" applyBorder="1" applyAlignment="1">
      <alignment/>
      <protection/>
    </xf>
    <xf numFmtId="3" fontId="23" fillId="0" borderId="38" xfId="102" applyNumberFormat="1" applyFont="1" applyFill="1" applyBorder="1" applyAlignment="1">
      <alignment/>
      <protection/>
    </xf>
    <xf numFmtId="3" fontId="38" fillId="0" borderId="38" xfId="102" applyNumberFormat="1" applyFont="1" applyFill="1" applyBorder="1" applyAlignment="1">
      <alignment/>
      <protection/>
    </xf>
    <xf numFmtId="3" fontId="38" fillId="0" borderId="52" xfId="102" applyNumberFormat="1" applyFont="1" applyFill="1" applyBorder="1" applyAlignment="1">
      <alignment/>
      <protection/>
    </xf>
    <xf numFmtId="3" fontId="23" fillId="0" borderId="38" xfId="98" applyNumberFormat="1" applyFont="1" applyFill="1" applyBorder="1" applyAlignment="1">
      <alignment/>
      <protection/>
    </xf>
    <xf numFmtId="3" fontId="23" fillId="0" borderId="52" xfId="102" applyNumberFormat="1" applyFont="1" applyFill="1" applyBorder="1" applyAlignment="1">
      <alignment wrapText="1"/>
      <protection/>
    </xf>
    <xf numFmtId="0" fontId="50" fillId="0" borderId="38" xfId="102" applyFont="1" applyFill="1" applyBorder="1">
      <alignment/>
      <protection/>
    </xf>
    <xf numFmtId="0" fontId="38" fillId="0" borderId="0" xfId="102" applyFont="1" applyFill="1" applyBorder="1">
      <alignment/>
      <protection/>
    </xf>
    <xf numFmtId="0" fontId="38" fillId="0" borderId="53" xfId="102" applyFont="1" applyFill="1" applyBorder="1">
      <alignment/>
      <protection/>
    </xf>
    <xf numFmtId="0" fontId="52" fillId="0" borderId="51" xfId="102" applyFont="1" applyFill="1" applyBorder="1">
      <alignment/>
      <protection/>
    </xf>
    <xf numFmtId="0" fontId="52" fillId="0" borderId="0" xfId="102" applyFont="1" applyFill="1">
      <alignment/>
      <protection/>
    </xf>
    <xf numFmtId="0" fontId="53" fillId="0" borderId="51" xfId="102" applyFont="1" applyFill="1" applyBorder="1">
      <alignment/>
      <protection/>
    </xf>
    <xf numFmtId="3" fontId="52" fillId="0" borderId="38" xfId="102" applyNumberFormat="1" applyFont="1" applyFill="1" applyBorder="1" applyAlignment="1">
      <alignment horizontal="right"/>
      <protection/>
    </xf>
    <xf numFmtId="0" fontId="52" fillId="0" borderId="38" xfId="102" applyFont="1" applyFill="1" applyBorder="1" applyAlignment="1">
      <alignment horizontal="right"/>
      <protection/>
    </xf>
    <xf numFmtId="3" fontId="52" fillId="0" borderId="52" xfId="102" applyNumberFormat="1" applyFont="1" applyFill="1" applyBorder="1" applyAlignment="1">
      <alignment horizontal="right"/>
      <protection/>
    </xf>
    <xf numFmtId="0" fontId="53" fillId="0" borderId="0" xfId="102" applyFont="1" applyFill="1">
      <alignment/>
      <protection/>
    </xf>
    <xf numFmtId="3" fontId="52" fillId="0" borderId="38" xfId="102" applyNumberFormat="1" applyFont="1" applyFill="1" applyBorder="1">
      <alignment/>
      <protection/>
    </xf>
    <xf numFmtId="3" fontId="52" fillId="0" borderId="52" xfId="102" applyNumberFormat="1" applyFont="1" applyFill="1" applyBorder="1">
      <alignment/>
      <protection/>
    </xf>
    <xf numFmtId="3" fontId="23" fillId="0" borderId="52" xfId="102" applyNumberFormat="1" applyFont="1" applyFill="1" applyBorder="1" applyAlignment="1">
      <alignment/>
      <protection/>
    </xf>
    <xf numFmtId="3" fontId="23" fillId="0" borderId="52" xfId="102" applyNumberFormat="1" applyFont="1" applyFill="1" applyBorder="1" applyAlignment="1">
      <alignment/>
      <protection/>
    </xf>
    <xf numFmtId="0" fontId="38" fillId="0" borderId="0" xfId="102" applyFont="1">
      <alignment/>
      <protection/>
    </xf>
    <xf numFmtId="0" fontId="38" fillId="0" borderId="0" xfId="102" applyFont="1" applyAlignment="1">
      <alignment horizontal="right"/>
      <protection/>
    </xf>
    <xf numFmtId="0" fontId="50" fillId="0" borderId="0" xfId="102" applyFont="1" applyAlignment="1">
      <alignment horizontal="center"/>
      <protection/>
    </xf>
    <xf numFmtId="0" fontId="38" fillId="0" borderId="0" xfId="102" applyFont="1" applyAlignment="1">
      <alignment horizontal="center"/>
      <protection/>
    </xf>
    <xf numFmtId="3" fontId="38" fillId="0" borderId="0" xfId="102" applyNumberFormat="1" applyFont="1" applyAlignment="1">
      <alignment horizontal="right"/>
      <protection/>
    </xf>
    <xf numFmtId="0" fontId="38" fillId="0" borderId="48" xfId="102" applyFont="1" applyBorder="1">
      <alignment/>
      <protection/>
    </xf>
    <xf numFmtId="0" fontId="38" fillId="0" borderId="51" xfId="102" applyFont="1" applyBorder="1">
      <alignment/>
      <protection/>
    </xf>
    <xf numFmtId="0" fontId="38" fillId="0" borderId="38" xfId="102" applyFont="1" applyBorder="1" applyAlignment="1">
      <alignment/>
      <protection/>
    </xf>
    <xf numFmtId="0" fontId="50" fillId="0" borderId="38" xfId="102" applyFont="1" applyBorder="1">
      <alignment/>
      <protection/>
    </xf>
    <xf numFmtId="3" fontId="38" fillId="0" borderId="38" xfId="102" applyNumberFormat="1" applyFont="1" applyBorder="1">
      <alignment/>
      <protection/>
    </xf>
    <xf numFmtId="3" fontId="38" fillId="0" borderId="52" xfId="102" applyNumberFormat="1" applyFont="1" applyBorder="1">
      <alignment/>
      <protection/>
    </xf>
    <xf numFmtId="3" fontId="38" fillId="0" borderId="0" xfId="102" applyNumberFormat="1" applyFont="1">
      <alignment/>
      <protection/>
    </xf>
    <xf numFmtId="0" fontId="30" fillId="0" borderId="0" xfId="0" applyFont="1" applyAlignment="1">
      <alignment horizontal="center"/>
    </xf>
    <xf numFmtId="3" fontId="21" fillId="0" borderId="54" xfId="107" applyNumberFormat="1" applyFont="1" applyBorder="1">
      <alignment/>
      <protection/>
    </xf>
    <xf numFmtId="0" fontId="20" fillId="0" borderId="23" xfId="107" applyFont="1" applyBorder="1" applyAlignment="1">
      <alignment wrapText="1"/>
      <protection/>
    </xf>
    <xf numFmtId="3" fontId="20" fillId="0" borderId="55" xfId="107" applyNumberFormat="1" applyFont="1" applyBorder="1">
      <alignment/>
      <protection/>
    </xf>
    <xf numFmtId="0" fontId="30" fillId="0" borderId="0" xfId="0" applyFont="1" applyAlignment="1">
      <alignment/>
    </xf>
    <xf numFmtId="0" fontId="29" fillId="0" borderId="13" xfId="0" applyFont="1" applyBorder="1" applyAlignment="1">
      <alignment wrapText="1"/>
    </xf>
    <xf numFmtId="0" fontId="30" fillId="0" borderId="0" xfId="0" applyFont="1" applyBorder="1" applyAlignment="1">
      <alignment/>
    </xf>
    <xf numFmtId="0" fontId="29" fillId="0" borderId="56" xfId="0" applyFont="1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29" fillId="0" borderId="45" xfId="0" applyFont="1" applyBorder="1" applyAlignment="1">
      <alignment/>
    </xf>
    <xf numFmtId="0" fontId="30" fillId="0" borderId="13" xfId="0" applyFont="1" applyBorder="1" applyAlignment="1">
      <alignment vertical="top" wrapText="1"/>
    </xf>
    <xf numFmtId="3" fontId="30" fillId="0" borderId="14" xfId="0" applyNumberFormat="1" applyFont="1" applyBorder="1" applyAlignment="1">
      <alignment horizontal="center" wrapText="1"/>
    </xf>
    <xf numFmtId="0" fontId="30" fillId="0" borderId="56" xfId="0" applyFont="1" applyBorder="1" applyAlignment="1">
      <alignment/>
    </xf>
    <xf numFmtId="3" fontId="30" fillId="0" borderId="14" xfId="0" applyNumberFormat="1" applyFont="1" applyBorder="1" applyAlignment="1">
      <alignment wrapText="1"/>
    </xf>
    <xf numFmtId="0" fontId="30" fillId="0" borderId="13" xfId="0" applyFont="1" applyBorder="1" applyAlignment="1">
      <alignment wrapText="1"/>
    </xf>
    <xf numFmtId="37" fontId="30" fillId="0" borderId="14" xfId="0" applyNumberFormat="1" applyFont="1" applyBorder="1" applyAlignment="1">
      <alignment wrapText="1"/>
    </xf>
    <xf numFmtId="0" fontId="29" fillId="0" borderId="13" xfId="0" applyFont="1" applyBorder="1" applyAlignment="1">
      <alignment/>
    </xf>
    <xf numFmtId="3" fontId="29" fillId="0" borderId="14" xfId="0" applyNumberFormat="1" applyFont="1" applyBorder="1" applyAlignment="1">
      <alignment wrapText="1"/>
    </xf>
    <xf numFmtId="0" fontId="29" fillId="0" borderId="13" xfId="0" applyFont="1" applyBorder="1" applyAlignment="1">
      <alignment horizontal="left" wrapText="1"/>
    </xf>
    <xf numFmtId="0" fontId="29" fillId="0" borderId="13" xfId="0" applyFont="1" applyBorder="1" applyAlignment="1">
      <alignment/>
    </xf>
    <xf numFmtId="3" fontId="29" fillId="0" borderId="14" xfId="0" applyNumberFormat="1" applyFont="1" applyBorder="1" applyAlignment="1">
      <alignment wrapText="1"/>
    </xf>
    <xf numFmtId="0" fontId="30" fillId="0" borderId="32" xfId="0" applyFont="1" applyBorder="1" applyAlignment="1">
      <alignment/>
    </xf>
    <xf numFmtId="0" fontId="30" fillId="0" borderId="57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14" xfId="0" applyNumberFormat="1" applyFont="1" applyBorder="1" applyAlignment="1">
      <alignment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wrapText="1"/>
    </xf>
    <xf numFmtId="0" fontId="29" fillId="0" borderId="0" xfId="0" applyFont="1" applyAlignment="1">
      <alignment/>
    </xf>
    <xf numFmtId="37" fontId="29" fillId="0" borderId="14" xfId="0" applyNumberFormat="1" applyFont="1" applyBorder="1" applyAlignment="1">
      <alignment wrapText="1"/>
    </xf>
    <xf numFmtId="0" fontId="29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3" fontId="58" fillId="0" borderId="14" xfId="0" applyNumberFormat="1" applyFont="1" applyBorder="1" applyAlignment="1">
      <alignment wrapText="1"/>
    </xf>
    <xf numFmtId="0" fontId="57" fillId="0" borderId="0" xfId="0" applyFont="1" applyBorder="1" applyAlignment="1">
      <alignment/>
    </xf>
    <xf numFmtId="0" fontId="30" fillId="0" borderId="21" xfId="0" applyFont="1" applyBorder="1" applyAlignment="1">
      <alignment wrapText="1"/>
    </xf>
    <xf numFmtId="37" fontId="30" fillId="0" borderId="22" xfId="0" applyNumberFormat="1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justify" wrapText="1"/>
    </xf>
    <xf numFmtId="0" fontId="40" fillId="0" borderId="38" xfId="102" applyFont="1" applyBorder="1">
      <alignment/>
      <protection/>
    </xf>
    <xf numFmtId="3" fontId="23" fillId="0" borderId="38" xfId="102" applyNumberFormat="1" applyFont="1" applyBorder="1">
      <alignment/>
      <protection/>
    </xf>
    <xf numFmtId="1" fontId="38" fillId="0" borderId="38" xfId="102" applyNumberFormat="1" applyFont="1" applyFill="1" applyBorder="1" applyAlignment="1">
      <alignment horizontal="center"/>
      <protection/>
    </xf>
    <xf numFmtId="2" fontId="23" fillId="0" borderId="58" xfId="0" applyNumberFormat="1" applyFont="1" applyBorder="1" applyAlignment="1">
      <alignment horizontal="center" vertical="top" wrapText="1"/>
    </xf>
    <xf numFmtId="3" fontId="33" fillId="0" borderId="14" xfId="107" applyNumberFormat="1" applyFont="1" applyBorder="1">
      <alignment/>
      <protection/>
    </xf>
    <xf numFmtId="3" fontId="21" fillId="0" borderId="14" xfId="107" applyNumberFormat="1" applyFont="1" applyBorder="1">
      <alignment/>
      <protection/>
    </xf>
    <xf numFmtId="3" fontId="20" fillId="0" borderId="59" xfId="107" applyNumberFormat="1" applyFont="1" applyBorder="1">
      <alignment/>
      <protection/>
    </xf>
    <xf numFmtId="3" fontId="30" fillId="0" borderId="60" xfId="0" applyNumberFormat="1" applyFont="1" applyBorder="1" applyAlignment="1">
      <alignment/>
    </xf>
    <xf numFmtId="3" fontId="30" fillId="0" borderId="61" xfId="0" applyNumberFormat="1" applyFont="1" applyBorder="1" applyAlignment="1">
      <alignment/>
    </xf>
    <xf numFmtId="0" fontId="38" fillId="0" borderId="13" xfId="103" applyFont="1" applyBorder="1" quotePrefix="1">
      <alignment/>
      <protection/>
    </xf>
    <xf numFmtId="3" fontId="38" fillId="0" borderId="0" xfId="103" applyNumberFormat="1" applyFont="1">
      <alignment/>
      <protection/>
    </xf>
    <xf numFmtId="0" fontId="58" fillId="0" borderId="13" xfId="0" applyFont="1" applyBorder="1" applyAlignment="1" quotePrefix="1">
      <alignment vertical="center" wrapText="1"/>
    </xf>
    <xf numFmtId="0" fontId="23" fillId="0" borderId="13" xfId="103" applyFont="1" applyBorder="1" applyAlignment="1">
      <alignment wrapText="1"/>
      <protection/>
    </xf>
    <xf numFmtId="0" fontId="38" fillId="0" borderId="0" xfId="106" applyFont="1" applyFill="1">
      <alignment/>
      <protection/>
    </xf>
    <xf numFmtId="0" fontId="38" fillId="0" borderId="38" xfId="106" applyFont="1" applyFill="1" applyBorder="1" applyAlignment="1">
      <alignment vertical="center" wrapText="1"/>
      <protection/>
    </xf>
    <xf numFmtId="3" fontId="38" fillId="0" borderId="38" xfId="106" applyNumberFormat="1" applyFont="1" applyFill="1" applyBorder="1" applyAlignment="1">
      <alignment vertical="center"/>
      <protection/>
    </xf>
    <xf numFmtId="3" fontId="38" fillId="0" borderId="52" xfId="106" applyNumberFormat="1" applyFont="1" applyFill="1" applyBorder="1" applyAlignment="1">
      <alignment vertical="center"/>
      <protection/>
    </xf>
    <xf numFmtId="0" fontId="38" fillId="0" borderId="0" xfId="106" applyFont="1" applyFill="1" applyBorder="1">
      <alignment/>
      <protection/>
    </xf>
    <xf numFmtId="3" fontId="38" fillId="0" borderId="0" xfId="106" applyNumberFormat="1" applyFont="1" applyFill="1">
      <alignment/>
      <protection/>
    </xf>
    <xf numFmtId="3" fontId="38" fillId="0" borderId="62" xfId="103" applyNumberFormat="1" applyFont="1" applyBorder="1">
      <alignment/>
      <protection/>
    </xf>
    <xf numFmtId="3" fontId="38" fillId="0" borderId="0" xfId="103" applyNumberFormat="1" applyFont="1" applyBorder="1">
      <alignment/>
      <protection/>
    </xf>
    <xf numFmtId="3" fontId="21" fillId="0" borderId="32" xfId="107" applyNumberFormat="1" applyFont="1" applyBorder="1">
      <alignment/>
      <protection/>
    </xf>
    <xf numFmtId="3" fontId="21" fillId="0" borderId="63" xfId="107" applyNumberFormat="1" applyFont="1" applyBorder="1">
      <alignment/>
      <protection/>
    </xf>
    <xf numFmtId="3" fontId="33" fillId="0" borderId="59" xfId="107" applyNumberFormat="1" applyFont="1" applyBorder="1">
      <alignment/>
      <protection/>
    </xf>
    <xf numFmtId="3" fontId="21" fillId="0" borderId="59" xfId="107" applyNumberFormat="1" applyFont="1" applyBorder="1">
      <alignment/>
      <protection/>
    </xf>
    <xf numFmtId="3" fontId="21" fillId="0" borderId="64" xfId="107" applyNumberFormat="1" applyFont="1" applyBorder="1">
      <alignment/>
      <protection/>
    </xf>
    <xf numFmtId="3" fontId="33" fillId="0" borderId="64" xfId="107" applyNumberFormat="1" applyFont="1" applyBorder="1">
      <alignment/>
      <protection/>
    </xf>
    <xf numFmtId="3" fontId="33" fillId="0" borderId="64" xfId="107" applyNumberFormat="1" applyFont="1" applyBorder="1">
      <alignment/>
      <protection/>
    </xf>
    <xf numFmtId="3" fontId="21" fillId="0" borderId="65" xfId="107" applyNumberFormat="1" applyFont="1" applyBorder="1">
      <alignment/>
      <protection/>
    </xf>
    <xf numFmtId="3" fontId="21" fillId="0" borderId="20" xfId="107" applyNumberFormat="1" applyFont="1" applyBorder="1">
      <alignment/>
      <protection/>
    </xf>
    <xf numFmtId="3" fontId="33" fillId="0" borderId="14" xfId="107" applyNumberFormat="1" applyFont="1" applyBorder="1">
      <alignment/>
      <protection/>
    </xf>
    <xf numFmtId="3" fontId="21" fillId="0" borderId="14" xfId="107" applyNumberFormat="1" applyFont="1" applyBorder="1">
      <alignment/>
      <protection/>
    </xf>
    <xf numFmtId="0" fontId="21" fillId="0" borderId="25" xfId="107" applyFont="1" applyBorder="1" applyAlignment="1" quotePrefix="1">
      <alignment horizontal="left"/>
      <protection/>
    </xf>
    <xf numFmtId="0" fontId="21" fillId="0" borderId="28" xfId="107" applyFont="1" applyBorder="1">
      <alignment/>
      <protection/>
    </xf>
    <xf numFmtId="0" fontId="21" fillId="0" borderId="28" xfId="107" applyFont="1" applyBorder="1" applyAlignment="1">
      <alignment/>
      <protection/>
    </xf>
    <xf numFmtId="0" fontId="21" fillId="0" borderId="28" xfId="0" applyFont="1" applyBorder="1" applyAlignment="1">
      <alignment/>
    </xf>
    <xf numFmtId="0" fontId="34" fillId="0" borderId="28" xfId="109" applyFont="1" applyBorder="1">
      <alignment/>
      <protection/>
    </xf>
    <xf numFmtId="0" fontId="21" fillId="0" borderId="28" xfId="0" applyFont="1" applyBorder="1" applyAlignment="1">
      <alignment shrinkToFit="1"/>
    </xf>
    <xf numFmtId="0" fontId="33" fillId="0" borderId="28" xfId="0" applyFont="1" applyBorder="1" applyAlignment="1">
      <alignment shrinkToFit="1"/>
    </xf>
    <xf numFmtId="0" fontId="33" fillId="0" borderId="28" xfId="107" applyFont="1" applyBorder="1">
      <alignment/>
      <protection/>
    </xf>
    <xf numFmtId="0" fontId="33" fillId="0" borderId="30" xfId="107" applyFont="1" applyBorder="1">
      <alignment/>
      <protection/>
    </xf>
    <xf numFmtId="0" fontId="21" fillId="0" borderId="32" xfId="107" applyFont="1" applyBorder="1" applyAlignment="1">
      <alignment wrapText="1"/>
      <protection/>
    </xf>
    <xf numFmtId="3" fontId="35" fillId="0" borderId="0" xfId="107" applyNumberFormat="1" applyFont="1">
      <alignment/>
      <protection/>
    </xf>
    <xf numFmtId="3" fontId="38" fillId="0" borderId="38" xfId="102" applyNumberFormat="1" applyFont="1" applyFill="1" applyBorder="1" applyAlignment="1">
      <alignment wrapText="1"/>
      <protection/>
    </xf>
    <xf numFmtId="3" fontId="23" fillId="0" borderId="38" xfId="102" applyNumberFormat="1" applyFont="1" applyFill="1" applyBorder="1" applyAlignment="1">
      <alignment wrapText="1"/>
      <protection/>
    </xf>
    <xf numFmtId="0" fontId="23" fillId="0" borderId="19" xfId="0" applyFont="1" applyBorder="1" applyAlignment="1">
      <alignment horizontal="justify" vertical="top" wrapText="1"/>
    </xf>
    <xf numFmtId="2" fontId="23" fillId="0" borderId="46" xfId="0" applyNumberFormat="1" applyFont="1" applyBorder="1" applyAlignment="1">
      <alignment horizontal="center" vertical="top" wrapText="1"/>
    </xf>
    <xf numFmtId="2" fontId="23" fillId="0" borderId="47" xfId="0" applyNumberFormat="1" applyFont="1" applyBorder="1" applyAlignment="1">
      <alignment horizontal="center" vertical="top" wrapText="1"/>
    </xf>
    <xf numFmtId="2" fontId="23" fillId="0" borderId="14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/>
    </xf>
    <xf numFmtId="0" fontId="38" fillId="0" borderId="66" xfId="0" applyFont="1" applyBorder="1" applyAlignment="1">
      <alignment horizontal="justify" vertical="top" wrapText="1"/>
    </xf>
    <xf numFmtId="0" fontId="23" fillId="0" borderId="67" xfId="0" applyFont="1" applyBorder="1" applyAlignment="1">
      <alignment horizontal="justify" vertical="top" wrapText="1"/>
    </xf>
    <xf numFmtId="2" fontId="48" fillId="0" borderId="46" xfId="0" applyNumberFormat="1" applyFont="1" applyBorder="1" applyAlignment="1">
      <alignment horizontal="center" vertical="top" wrapText="1"/>
    </xf>
    <xf numFmtId="0" fontId="23" fillId="0" borderId="38" xfId="102" applyFont="1" applyFill="1" applyBorder="1" applyAlignment="1">
      <alignment horizontal="left"/>
      <protection/>
    </xf>
    <xf numFmtId="0" fontId="22" fillId="0" borderId="22" xfId="0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0" fontId="20" fillId="0" borderId="68" xfId="107" applyFont="1" applyBorder="1" applyAlignment="1">
      <alignment horizontal="center"/>
      <protection/>
    </xf>
    <xf numFmtId="3" fontId="20" fillId="0" borderId="69" xfId="107" applyNumberFormat="1" applyFont="1" applyBorder="1">
      <alignment/>
      <protection/>
    </xf>
    <xf numFmtId="0" fontId="20" fillId="0" borderId="22" xfId="107" applyFont="1" applyBorder="1" applyAlignment="1">
      <alignment horizontal="center"/>
      <protection/>
    </xf>
    <xf numFmtId="3" fontId="33" fillId="0" borderId="70" xfId="107" applyNumberFormat="1" applyFont="1" applyBorder="1">
      <alignment/>
      <protection/>
    </xf>
    <xf numFmtId="3" fontId="20" fillId="0" borderId="20" xfId="107" applyNumberFormat="1" applyFont="1" applyBorder="1">
      <alignment/>
      <protection/>
    </xf>
    <xf numFmtId="3" fontId="21" fillId="0" borderId="42" xfId="107" applyNumberFormat="1" applyFont="1" applyBorder="1">
      <alignment/>
      <protection/>
    </xf>
    <xf numFmtId="3" fontId="21" fillId="0" borderId="54" xfId="107" applyNumberFormat="1" applyFont="1" applyBorder="1">
      <alignment/>
      <protection/>
    </xf>
    <xf numFmtId="3" fontId="20" fillId="0" borderId="55" xfId="107" applyNumberFormat="1" applyFont="1" applyBorder="1">
      <alignment/>
      <protection/>
    </xf>
    <xf numFmtId="0" fontId="24" fillId="0" borderId="20" xfId="107" applyFont="1" applyBorder="1">
      <alignment/>
      <protection/>
    </xf>
    <xf numFmtId="0" fontId="24" fillId="0" borderId="42" xfId="107" applyFont="1" applyBorder="1">
      <alignment/>
      <protection/>
    </xf>
    <xf numFmtId="3" fontId="20" fillId="0" borderId="69" xfId="107" applyNumberFormat="1" applyFont="1" applyBorder="1">
      <alignment/>
      <protection/>
    </xf>
    <xf numFmtId="3" fontId="20" fillId="0" borderId="71" xfId="107" applyNumberFormat="1" applyFont="1" applyBorder="1">
      <alignment/>
      <protection/>
    </xf>
    <xf numFmtId="3" fontId="33" fillId="0" borderId="65" xfId="107" applyNumberFormat="1" applyFont="1" applyBorder="1">
      <alignment/>
      <protection/>
    </xf>
    <xf numFmtId="0" fontId="38" fillId="0" borderId="72" xfId="102" applyFont="1" applyFill="1" applyBorder="1" applyAlignment="1">
      <alignment horizontal="right"/>
      <protection/>
    </xf>
    <xf numFmtId="0" fontId="0" fillId="0" borderId="73" xfId="0" applyBorder="1" applyAlignment="1">
      <alignment horizontal="center" vertical="center"/>
    </xf>
    <xf numFmtId="1" fontId="23" fillId="0" borderId="73" xfId="98" applyNumberFormat="1" applyFont="1" applyFill="1" applyBorder="1" applyAlignment="1">
      <alignment horizontal="center" vertical="center"/>
      <protection/>
    </xf>
    <xf numFmtId="0" fontId="40" fillId="0" borderId="73" xfId="102" applyFont="1" applyFill="1" applyBorder="1">
      <alignment/>
      <protection/>
    </xf>
    <xf numFmtId="3" fontId="23" fillId="0" borderId="73" xfId="102" applyNumberFormat="1" applyFont="1" applyFill="1" applyBorder="1" applyAlignment="1">
      <alignment/>
      <protection/>
    </xf>
    <xf numFmtId="3" fontId="23" fillId="0" borderId="22" xfId="103" applyNumberFormat="1" applyFont="1" applyBorder="1">
      <alignment/>
      <protection/>
    </xf>
    <xf numFmtId="3" fontId="38" fillId="0" borderId="64" xfId="103" applyNumberFormat="1" applyFont="1" applyBorder="1">
      <alignment/>
      <protection/>
    </xf>
    <xf numFmtId="3" fontId="23" fillId="0" borderId="64" xfId="103" applyNumberFormat="1" applyFont="1" applyBorder="1">
      <alignment/>
      <protection/>
    </xf>
    <xf numFmtId="3" fontId="23" fillId="0" borderId="68" xfId="103" applyNumberFormat="1" applyFont="1" applyBorder="1">
      <alignment/>
      <protection/>
    </xf>
    <xf numFmtId="3" fontId="24" fillId="0" borderId="64" xfId="0" applyNumberFormat="1" applyFont="1" applyBorder="1" applyAlignment="1">
      <alignment horizontal="right"/>
    </xf>
    <xf numFmtId="3" fontId="22" fillId="0" borderId="64" xfId="0" applyNumberFormat="1" applyFont="1" applyBorder="1" applyAlignment="1">
      <alignment horizontal="right"/>
    </xf>
    <xf numFmtId="3" fontId="22" fillId="0" borderId="68" xfId="0" applyNumberFormat="1" applyFont="1" applyBorder="1" applyAlignment="1">
      <alignment horizontal="right"/>
    </xf>
    <xf numFmtId="0" fontId="0" fillId="0" borderId="64" xfId="0" applyBorder="1" applyAlignment="1">
      <alignment/>
    </xf>
    <xf numFmtId="0" fontId="0" fillId="0" borderId="14" xfId="0" applyBorder="1" applyAlignment="1">
      <alignment/>
    </xf>
    <xf numFmtId="3" fontId="23" fillId="0" borderId="40" xfId="103" applyNumberFormat="1" applyFont="1" applyBorder="1" applyAlignment="1">
      <alignment horizontal="center"/>
      <protection/>
    </xf>
    <xf numFmtId="3" fontId="38" fillId="0" borderId="14" xfId="103" applyNumberFormat="1" applyFont="1" applyBorder="1">
      <alignment/>
      <protection/>
    </xf>
    <xf numFmtId="3" fontId="38" fillId="0" borderId="42" xfId="103" applyNumberFormat="1" applyFont="1" applyBorder="1">
      <alignment/>
      <protection/>
    </xf>
    <xf numFmtId="3" fontId="23" fillId="0" borderId="14" xfId="103" applyNumberFormat="1" applyFont="1" applyBorder="1">
      <alignment/>
      <protection/>
    </xf>
    <xf numFmtId="0" fontId="23" fillId="0" borderId="74" xfId="103" applyFont="1" applyBorder="1" applyAlignment="1">
      <alignment horizontal="center"/>
      <protection/>
    </xf>
    <xf numFmtId="0" fontId="38" fillId="0" borderId="64" xfId="103" applyFont="1" applyBorder="1">
      <alignment/>
      <protection/>
    </xf>
    <xf numFmtId="3" fontId="23" fillId="0" borderId="68" xfId="103" applyNumberFormat="1" applyFont="1" applyBorder="1">
      <alignment/>
      <protection/>
    </xf>
    <xf numFmtId="0" fontId="23" fillId="0" borderId="40" xfId="103" applyFont="1" applyBorder="1" applyAlignment="1">
      <alignment horizontal="center"/>
      <protection/>
    </xf>
    <xf numFmtId="0" fontId="38" fillId="0" borderId="14" xfId="103" applyFont="1" applyBorder="1">
      <alignment/>
      <protection/>
    </xf>
    <xf numFmtId="0" fontId="44" fillId="0" borderId="14" xfId="103" applyFont="1" applyBorder="1">
      <alignment/>
      <protection/>
    </xf>
    <xf numFmtId="0" fontId="23" fillId="0" borderId="74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  <xf numFmtId="2" fontId="38" fillId="0" borderId="20" xfId="0" applyNumberFormat="1" applyFont="1" applyBorder="1" applyAlignment="1">
      <alignment horizontal="center" vertical="top" wrapText="1"/>
    </xf>
    <xf numFmtId="2" fontId="48" fillId="0" borderId="14" xfId="0" applyNumberFormat="1" applyFont="1" applyBorder="1" applyAlignment="1">
      <alignment horizontal="center" vertical="top" wrapText="1"/>
    </xf>
    <xf numFmtId="2" fontId="44" fillId="0" borderId="20" xfId="0" applyNumberFormat="1" applyFont="1" applyBorder="1" applyAlignment="1">
      <alignment horizontal="center" vertical="top" wrapText="1"/>
    </xf>
    <xf numFmtId="0" fontId="38" fillId="0" borderId="14" xfId="0" applyFont="1" applyBorder="1" applyAlignment="1">
      <alignment/>
    </xf>
    <xf numFmtId="0" fontId="38" fillId="0" borderId="42" xfId="0" applyFont="1" applyBorder="1" applyAlignment="1">
      <alignment/>
    </xf>
    <xf numFmtId="2" fontId="23" fillId="0" borderId="55" xfId="0" applyNumberFormat="1" applyFont="1" applyBorder="1" applyAlignment="1">
      <alignment horizontal="center" vertical="top" wrapText="1"/>
    </xf>
    <xf numFmtId="3" fontId="23" fillId="0" borderId="49" xfId="102" applyNumberFormat="1" applyFont="1" applyFill="1" applyBorder="1" applyAlignment="1">
      <alignment horizontal="right" vertical="center"/>
      <protection/>
    </xf>
    <xf numFmtId="3" fontId="23" fillId="0" borderId="52" xfId="102" applyNumberFormat="1" applyFont="1" applyBorder="1">
      <alignment/>
      <protection/>
    </xf>
    <xf numFmtId="3" fontId="23" fillId="0" borderId="72" xfId="102" applyNumberFormat="1" applyFont="1" applyFill="1" applyBorder="1" applyAlignment="1">
      <alignment/>
      <protection/>
    </xf>
    <xf numFmtId="2" fontId="23" fillId="0" borderId="75" xfId="0" applyNumberFormat="1" applyFont="1" applyBorder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2" fontId="38" fillId="0" borderId="20" xfId="0" applyNumberFormat="1" applyFont="1" applyBorder="1" applyAlignment="1">
      <alignment horizontal="center"/>
    </xf>
    <xf numFmtId="2" fontId="38" fillId="0" borderId="42" xfId="0" applyNumberFormat="1" applyFont="1" applyBorder="1" applyAlignment="1">
      <alignment horizontal="center"/>
    </xf>
    <xf numFmtId="2" fontId="23" fillId="0" borderId="55" xfId="0" applyNumberFormat="1" applyFont="1" applyBorder="1" applyAlignment="1">
      <alignment horizontal="center"/>
    </xf>
    <xf numFmtId="49" fontId="38" fillId="0" borderId="13" xfId="103" applyNumberFormat="1" applyFont="1" applyBorder="1">
      <alignment/>
      <protection/>
    </xf>
    <xf numFmtId="49" fontId="38" fillId="0" borderId="13" xfId="103" applyNumberFormat="1" applyFont="1" applyBorder="1" applyAlignment="1">
      <alignment wrapText="1"/>
      <protection/>
    </xf>
    <xf numFmtId="49" fontId="34" fillId="0" borderId="28" xfId="109" applyNumberFormat="1" applyFont="1" applyBorder="1" applyAlignment="1">
      <alignment wrapText="1"/>
      <protection/>
    </xf>
    <xf numFmtId="49" fontId="33" fillId="0" borderId="29" xfId="107" applyNumberFormat="1" applyFont="1" applyBorder="1" applyAlignment="1">
      <alignment wrapText="1"/>
      <protection/>
    </xf>
    <xf numFmtId="0" fontId="38" fillId="0" borderId="38" xfId="102" applyFont="1" applyFill="1" applyBorder="1" applyAlignment="1">
      <alignment/>
      <protection/>
    </xf>
    <xf numFmtId="49" fontId="38" fillId="0" borderId="56" xfId="103" applyNumberFormat="1" applyFont="1" applyBorder="1">
      <alignment/>
      <protection/>
    </xf>
    <xf numFmtId="3" fontId="33" fillId="0" borderId="54" xfId="107" applyNumberFormat="1" applyFont="1" applyBorder="1">
      <alignment/>
      <protection/>
    </xf>
    <xf numFmtId="0" fontId="38" fillId="0" borderId="53" xfId="102" applyFont="1" applyBorder="1">
      <alignment/>
      <protection/>
    </xf>
    <xf numFmtId="0" fontId="38" fillId="0" borderId="72" xfId="102" applyFont="1" applyFill="1" applyBorder="1">
      <alignment/>
      <protection/>
    </xf>
    <xf numFmtId="3" fontId="22" fillId="0" borderId="74" xfId="0" applyNumberFormat="1" applyFont="1" applyBorder="1" applyAlignment="1">
      <alignment horizontal="center" vertical="center" wrapText="1"/>
    </xf>
    <xf numFmtId="2" fontId="38" fillId="0" borderId="71" xfId="0" applyNumberFormat="1" applyFont="1" applyFill="1" applyBorder="1" applyAlignment="1">
      <alignment horizontal="center"/>
    </xf>
    <xf numFmtId="2" fontId="38" fillId="0" borderId="64" xfId="0" applyNumberFormat="1" applyFont="1" applyBorder="1" applyAlignment="1">
      <alignment horizontal="center"/>
    </xf>
    <xf numFmtId="0" fontId="22" fillId="0" borderId="76" xfId="0" applyFont="1" applyBorder="1" applyAlignment="1">
      <alignment horizontal="left"/>
    </xf>
    <xf numFmtId="0" fontId="20" fillId="0" borderId="21" xfId="107" applyFont="1" applyBorder="1" applyAlignment="1">
      <alignment horizontal="center"/>
      <protection/>
    </xf>
    <xf numFmtId="3" fontId="21" fillId="0" borderId="15" xfId="107" applyNumberFormat="1" applyFont="1" applyBorder="1">
      <alignment/>
      <protection/>
    </xf>
    <xf numFmtId="3" fontId="21" fillId="0" borderId="13" xfId="107" applyNumberFormat="1" applyFont="1" applyBorder="1">
      <alignment/>
      <protection/>
    </xf>
    <xf numFmtId="3" fontId="33" fillId="0" borderId="13" xfId="107" applyNumberFormat="1" applyFont="1" applyBorder="1">
      <alignment/>
      <protection/>
    </xf>
    <xf numFmtId="3" fontId="21" fillId="0" borderId="13" xfId="107" applyNumberFormat="1" applyFont="1" applyBorder="1">
      <alignment/>
      <protection/>
    </xf>
    <xf numFmtId="3" fontId="33" fillId="0" borderId="13" xfId="107" applyNumberFormat="1" applyFont="1" applyBorder="1">
      <alignment/>
      <protection/>
    </xf>
    <xf numFmtId="3" fontId="21" fillId="0" borderId="41" xfId="107" applyNumberFormat="1" applyFont="1" applyBorder="1">
      <alignment/>
      <protection/>
    </xf>
    <xf numFmtId="3" fontId="33" fillId="0" borderId="41" xfId="107" applyNumberFormat="1" applyFont="1" applyBorder="1">
      <alignment/>
      <protection/>
    </xf>
    <xf numFmtId="3" fontId="20" fillId="0" borderId="67" xfId="107" applyNumberFormat="1" applyFont="1" applyBorder="1">
      <alignment/>
      <protection/>
    </xf>
    <xf numFmtId="0" fontId="22" fillId="0" borderId="19" xfId="107" applyFont="1" applyBorder="1">
      <alignment/>
      <protection/>
    </xf>
    <xf numFmtId="3" fontId="20" fillId="0" borderId="13" xfId="107" applyNumberFormat="1" applyFont="1" applyBorder="1">
      <alignment/>
      <protection/>
    </xf>
    <xf numFmtId="3" fontId="20" fillId="0" borderId="41" xfId="107" applyNumberFormat="1" applyFont="1" applyBorder="1">
      <alignment/>
      <protection/>
    </xf>
    <xf numFmtId="3" fontId="20" fillId="0" borderId="21" xfId="107" applyNumberFormat="1" applyFont="1" applyBorder="1">
      <alignment/>
      <protection/>
    </xf>
    <xf numFmtId="3" fontId="20" fillId="0" borderId="77" xfId="107" applyNumberFormat="1" applyFont="1" applyBorder="1">
      <alignment/>
      <protection/>
    </xf>
    <xf numFmtId="3" fontId="21" fillId="0" borderId="19" xfId="107" applyNumberFormat="1" applyFont="1" applyBorder="1">
      <alignment/>
      <protection/>
    </xf>
    <xf numFmtId="3" fontId="33" fillId="0" borderId="19" xfId="107" applyNumberFormat="1" applyFont="1" applyBorder="1">
      <alignment/>
      <protection/>
    </xf>
    <xf numFmtId="3" fontId="21" fillId="0" borderId="21" xfId="107" applyNumberFormat="1" applyFont="1" applyBorder="1">
      <alignment/>
      <protection/>
    </xf>
    <xf numFmtId="3" fontId="20" fillId="0" borderId="67" xfId="107" applyNumberFormat="1" applyFont="1" applyBorder="1">
      <alignment/>
      <protection/>
    </xf>
    <xf numFmtId="3" fontId="20" fillId="0" borderId="19" xfId="107" applyNumberFormat="1" applyFont="1" applyBorder="1">
      <alignment/>
      <protection/>
    </xf>
    <xf numFmtId="3" fontId="63" fillId="0" borderId="28" xfId="109" applyNumberFormat="1" applyFont="1" applyBorder="1">
      <alignment/>
      <protection/>
    </xf>
    <xf numFmtId="49" fontId="33" fillId="0" borderId="28" xfId="107" applyNumberFormat="1" applyFont="1" applyBorder="1">
      <alignment/>
      <protection/>
    </xf>
    <xf numFmtId="3" fontId="22" fillId="0" borderId="20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0" fontId="0" fillId="0" borderId="72" xfId="0" applyBorder="1" applyAlignment="1">
      <alignment horizontal="center" vertical="center"/>
    </xf>
    <xf numFmtId="3" fontId="23" fillId="0" borderId="74" xfId="103" applyNumberFormat="1" applyFont="1" applyBorder="1" applyAlignment="1">
      <alignment horizontal="center"/>
      <protection/>
    </xf>
    <xf numFmtId="3" fontId="38" fillId="0" borderId="64" xfId="103" applyNumberFormat="1" applyFont="1" applyBorder="1">
      <alignment/>
      <protection/>
    </xf>
    <xf numFmtId="3" fontId="38" fillId="0" borderId="65" xfId="103" applyNumberFormat="1" applyFont="1" applyBorder="1">
      <alignment/>
      <protection/>
    </xf>
    <xf numFmtId="3" fontId="23" fillId="0" borderId="64" xfId="103" applyNumberFormat="1" applyFont="1" applyBorder="1">
      <alignment/>
      <protection/>
    </xf>
    <xf numFmtId="3" fontId="44" fillId="0" borderId="68" xfId="103" applyNumberFormat="1" applyFont="1" applyBorder="1">
      <alignment/>
      <protection/>
    </xf>
    <xf numFmtId="2" fontId="38" fillId="0" borderId="20" xfId="0" applyNumberFormat="1" applyFont="1" applyFill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2" fontId="54" fillId="0" borderId="14" xfId="0" applyNumberFormat="1" applyFont="1" applyFill="1" applyBorder="1" applyAlignment="1">
      <alignment horizontal="center" vertical="top" wrapText="1"/>
    </xf>
    <xf numFmtId="2" fontId="44" fillId="0" borderId="20" xfId="0" applyNumberFormat="1" applyFont="1" applyFill="1" applyBorder="1" applyAlignment="1">
      <alignment horizontal="center" vertical="top" wrapText="1"/>
    </xf>
    <xf numFmtId="3" fontId="23" fillId="0" borderId="72" xfId="106" applyNumberFormat="1" applyFont="1" applyFill="1" applyBorder="1">
      <alignment/>
      <protection/>
    </xf>
    <xf numFmtId="49" fontId="38" fillId="0" borderId="41" xfId="103" applyNumberFormat="1" applyFont="1" applyBorder="1">
      <alignment/>
      <protection/>
    </xf>
    <xf numFmtId="3" fontId="44" fillId="0" borderId="14" xfId="103" applyNumberFormat="1" applyFont="1" applyBorder="1">
      <alignment/>
      <protection/>
    </xf>
    <xf numFmtId="3" fontId="23" fillId="0" borderId="78" xfId="102" applyNumberFormat="1" applyFont="1" applyFill="1" applyBorder="1" applyAlignment="1">
      <alignment/>
      <protection/>
    </xf>
    <xf numFmtId="3" fontId="38" fillId="0" borderId="14" xfId="105" applyNumberFormat="1" applyFont="1" applyFill="1" applyBorder="1" applyAlignment="1">
      <alignment vertical="center"/>
      <protection/>
    </xf>
    <xf numFmtId="3" fontId="38" fillId="0" borderId="14" xfId="105" applyNumberFormat="1" applyFont="1" applyFill="1" applyBorder="1" applyAlignment="1">
      <alignment horizontal="right" vertical="center"/>
      <protection/>
    </xf>
    <xf numFmtId="3" fontId="38" fillId="0" borderId="60" xfId="105" applyNumberFormat="1" applyFont="1" applyFill="1" applyBorder="1" applyAlignment="1">
      <alignment vertical="center"/>
      <protection/>
    </xf>
    <xf numFmtId="3" fontId="23" fillId="0" borderId="14" xfId="105" applyNumberFormat="1" applyFont="1" applyFill="1" applyBorder="1" applyAlignment="1">
      <alignment vertical="center"/>
      <protection/>
    </xf>
    <xf numFmtId="0" fontId="23" fillId="0" borderId="14" xfId="105" applyFont="1" applyFill="1" applyBorder="1" applyAlignment="1">
      <alignment horizontal="left" vertical="center" wrapText="1"/>
      <protection/>
    </xf>
    <xf numFmtId="0" fontId="23" fillId="0" borderId="14" xfId="105" applyFont="1" applyFill="1" applyBorder="1" applyAlignment="1">
      <alignment vertical="center" wrapText="1"/>
      <protection/>
    </xf>
    <xf numFmtId="3" fontId="23" fillId="0" borderId="14" xfId="105" applyNumberFormat="1" applyFont="1" applyFill="1" applyBorder="1" applyAlignment="1">
      <alignment vertical="center" wrapText="1"/>
      <protection/>
    </xf>
    <xf numFmtId="3" fontId="23" fillId="0" borderId="60" xfId="105" applyNumberFormat="1" applyFont="1" applyFill="1" applyBorder="1" applyAlignment="1">
      <alignment vertical="center"/>
      <protection/>
    </xf>
    <xf numFmtId="3" fontId="38" fillId="0" borderId="22" xfId="105" applyNumberFormat="1" applyFont="1" applyFill="1" applyBorder="1" applyAlignment="1">
      <alignment vertical="center"/>
      <protection/>
    </xf>
    <xf numFmtId="3" fontId="38" fillId="0" borderId="40" xfId="105" applyNumberFormat="1" applyFont="1" applyFill="1" applyBorder="1" applyAlignment="1">
      <alignment vertical="center"/>
      <protection/>
    </xf>
    <xf numFmtId="3" fontId="23" fillId="0" borderId="76" xfId="105" applyNumberFormat="1" applyFont="1" applyFill="1" applyBorder="1" applyAlignment="1">
      <alignment vertical="center"/>
      <protection/>
    </xf>
    <xf numFmtId="3" fontId="23" fillId="0" borderId="60" xfId="105" applyNumberFormat="1" applyFont="1" applyFill="1" applyBorder="1" applyAlignment="1">
      <alignment vertical="center" wrapText="1"/>
      <protection/>
    </xf>
    <xf numFmtId="0" fontId="38" fillId="0" borderId="0" xfId="105" applyFont="1" applyFill="1">
      <alignment/>
      <protection/>
    </xf>
    <xf numFmtId="3" fontId="38" fillId="0" borderId="0" xfId="105" applyNumberFormat="1" applyFont="1" applyFill="1">
      <alignment/>
      <protection/>
    </xf>
    <xf numFmtId="3" fontId="38" fillId="0" borderId="79" xfId="105" applyNumberFormat="1" applyFont="1" applyFill="1" applyBorder="1" applyAlignment="1">
      <alignment vertical="center"/>
      <protection/>
    </xf>
    <xf numFmtId="3" fontId="38" fillId="0" borderId="61" xfId="105" applyNumberFormat="1" applyFont="1" applyFill="1" applyBorder="1" applyAlignment="1">
      <alignment vertical="center"/>
      <protection/>
    </xf>
    <xf numFmtId="0" fontId="38" fillId="0" borderId="0" xfId="102" applyFont="1" applyBorder="1" applyAlignment="1">
      <alignment horizontal="right"/>
      <protection/>
    </xf>
    <xf numFmtId="0" fontId="38" fillId="0" borderId="0" xfId="102" applyFont="1" applyBorder="1">
      <alignment/>
      <protection/>
    </xf>
    <xf numFmtId="0" fontId="50" fillId="0" borderId="0" xfId="102" applyFont="1" applyBorder="1" applyAlignment="1">
      <alignment horizontal="center"/>
      <protection/>
    </xf>
    <xf numFmtId="0" fontId="38" fillId="0" borderId="0" xfId="102" applyFont="1" applyBorder="1" applyAlignment="1">
      <alignment horizontal="center"/>
      <protection/>
    </xf>
    <xf numFmtId="3" fontId="38" fillId="0" borderId="0" xfId="102" applyNumberFormat="1" applyFont="1" applyBorder="1">
      <alignment/>
      <protection/>
    </xf>
    <xf numFmtId="2" fontId="38" fillId="0" borderId="59" xfId="0" applyNumberFormat="1" applyFont="1" applyBorder="1" applyAlignment="1">
      <alignment horizontal="center" vertical="top" wrapText="1"/>
    </xf>
    <xf numFmtId="0" fontId="38" fillId="0" borderId="13" xfId="0" applyFont="1" applyBorder="1" applyAlignment="1">
      <alignment wrapText="1"/>
    </xf>
    <xf numFmtId="1" fontId="23" fillId="0" borderId="53" xfId="98" applyNumberFormat="1" applyFont="1" applyFill="1" applyBorder="1" applyAlignment="1">
      <alignment horizontal="center" vertical="center"/>
      <protection/>
    </xf>
    <xf numFmtId="0" fontId="38" fillId="0" borderId="38" xfId="102" applyFont="1" applyBorder="1">
      <alignment/>
      <protection/>
    </xf>
    <xf numFmtId="0" fontId="38" fillId="0" borderId="52" xfId="102" applyFont="1" applyBorder="1">
      <alignment/>
      <protection/>
    </xf>
    <xf numFmtId="0" fontId="38" fillId="0" borderId="72" xfId="102" applyFont="1" applyBorder="1">
      <alignment/>
      <protection/>
    </xf>
    <xf numFmtId="0" fontId="23" fillId="0" borderId="38" xfId="102" applyFont="1" applyBorder="1">
      <alignment/>
      <protection/>
    </xf>
    <xf numFmtId="3" fontId="23" fillId="0" borderId="80" xfId="106" applyNumberFormat="1" applyFont="1" applyFill="1" applyBorder="1" applyAlignment="1">
      <alignment horizontal="right" vertical="center"/>
      <protection/>
    </xf>
    <xf numFmtId="3" fontId="23" fillId="0" borderId="38" xfId="106" applyNumberFormat="1" applyFont="1" applyFill="1" applyBorder="1" applyAlignment="1">
      <alignment horizontal="right" vertical="center"/>
      <protection/>
    </xf>
    <xf numFmtId="0" fontId="23" fillId="0" borderId="38" xfId="106" applyFont="1" applyFill="1" applyBorder="1" applyAlignment="1">
      <alignment vertical="center" wrapText="1"/>
      <protection/>
    </xf>
    <xf numFmtId="3" fontId="23" fillId="0" borderId="38" xfId="106" applyNumberFormat="1" applyFont="1" applyFill="1" applyBorder="1" applyAlignment="1">
      <alignment vertical="center"/>
      <protection/>
    </xf>
    <xf numFmtId="3" fontId="23" fillId="0" borderId="52" xfId="106" applyNumberFormat="1" applyFont="1" applyFill="1" applyBorder="1" applyAlignment="1">
      <alignment vertical="center"/>
      <protection/>
    </xf>
    <xf numFmtId="0" fontId="40" fillId="0" borderId="0" xfId="108" applyFont="1" applyFill="1" applyBorder="1" applyAlignment="1">
      <alignment horizontal="center" vertical="center"/>
      <protection/>
    </xf>
    <xf numFmtId="3" fontId="38" fillId="0" borderId="0" xfId="102" applyNumberFormat="1" applyFont="1" applyBorder="1" applyAlignment="1">
      <alignment horizontal="right"/>
      <protection/>
    </xf>
    <xf numFmtId="0" fontId="38" fillId="0" borderId="73" xfId="102" applyFont="1" applyBorder="1">
      <alignment/>
      <protection/>
    </xf>
    <xf numFmtId="0" fontId="38" fillId="0" borderId="73" xfId="102" applyFont="1" applyBorder="1" applyAlignment="1">
      <alignment horizontal="right"/>
      <protection/>
    </xf>
    <xf numFmtId="0" fontId="50" fillId="0" borderId="73" xfId="102" applyFont="1" applyBorder="1" applyAlignment="1">
      <alignment horizontal="center"/>
      <protection/>
    </xf>
    <xf numFmtId="0" fontId="38" fillId="0" borderId="73" xfId="102" applyFont="1" applyBorder="1" applyAlignment="1">
      <alignment horizontal="center"/>
      <protection/>
    </xf>
    <xf numFmtId="3" fontId="23" fillId="0" borderId="73" xfId="102" applyNumberFormat="1" applyFont="1" applyBorder="1" applyAlignment="1">
      <alignment horizontal="right"/>
      <protection/>
    </xf>
    <xf numFmtId="0" fontId="27" fillId="0" borderId="38" xfId="0" applyFont="1" applyFill="1" applyBorder="1" applyAlignment="1">
      <alignment horizontal="left"/>
    </xf>
    <xf numFmtId="3" fontId="22" fillId="0" borderId="40" xfId="0" applyNumberFormat="1" applyFont="1" applyBorder="1" applyAlignment="1">
      <alignment/>
    </xf>
    <xf numFmtId="3" fontId="22" fillId="0" borderId="22" xfId="0" applyNumberFormat="1" applyFont="1" applyBorder="1" applyAlignment="1">
      <alignment horizontal="center" vertical="center" wrapText="1"/>
    </xf>
    <xf numFmtId="3" fontId="22" fillId="0" borderId="40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33" fillId="0" borderId="20" xfId="107" applyNumberFormat="1" applyFont="1" applyBorder="1">
      <alignment/>
      <protection/>
    </xf>
    <xf numFmtId="3" fontId="20" fillId="0" borderId="20" xfId="107" applyNumberFormat="1" applyFont="1" applyBorder="1">
      <alignment/>
      <protection/>
    </xf>
    <xf numFmtId="3" fontId="33" fillId="0" borderId="42" xfId="107" applyNumberFormat="1" applyFont="1" applyBorder="1">
      <alignment/>
      <protection/>
    </xf>
    <xf numFmtId="3" fontId="21" fillId="0" borderId="42" xfId="107" applyNumberFormat="1" applyFont="1" applyBorder="1">
      <alignment/>
      <protection/>
    </xf>
    <xf numFmtId="3" fontId="33" fillId="0" borderId="42" xfId="107" applyNumberFormat="1" applyFont="1" applyBorder="1">
      <alignment/>
      <protection/>
    </xf>
    <xf numFmtId="3" fontId="20" fillId="0" borderId="14" xfId="107" applyNumberFormat="1" applyFont="1" applyBorder="1">
      <alignment/>
      <protection/>
    </xf>
    <xf numFmtId="3" fontId="21" fillId="0" borderId="22" xfId="107" applyNumberFormat="1" applyFont="1" applyBorder="1">
      <alignment/>
      <protection/>
    </xf>
    <xf numFmtId="3" fontId="20" fillId="0" borderId="70" xfId="107" applyNumberFormat="1" applyFont="1" applyBorder="1">
      <alignment/>
      <protection/>
    </xf>
    <xf numFmtId="3" fontId="38" fillId="0" borderId="72" xfId="102" applyNumberFormat="1" applyFont="1" applyFill="1" applyBorder="1" applyAlignment="1">
      <alignment horizontal="right"/>
      <protection/>
    </xf>
    <xf numFmtId="0" fontId="38" fillId="0" borderId="38" xfId="102" applyFont="1" applyFill="1" applyBorder="1">
      <alignment/>
      <protection/>
    </xf>
    <xf numFmtId="0" fontId="23" fillId="0" borderId="38" xfId="102" applyFont="1" applyFill="1" applyBorder="1" applyAlignment="1">
      <alignment horizontal="center" vertical="center"/>
      <protection/>
    </xf>
    <xf numFmtId="0" fontId="23" fillId="0" borderId="38" xfId="102" applyFont="1" applyFill="1" applyBorder="1" applyAlignment="1">
      <alignment horizontal="center" vertical="center" wrapText="1"/>
      <protection/>
    </xf>
    <xf numFmtId="3" fontId="23" fillId="0" borderId="52" xfId="102" applyNumberFormat="1" applyFont="1" applyFill="1" applyBorder="1" applyAlignment="1">
      <alignment horizontal="center" vertical="center" wrapText="1"/>
      <protection/>
    </xf>
    <xf numFmtId="0" fontId="38" fillId="0" borderId="38" xfId="102" applyFont="1" applyFill="1" applyBorder="1" applyAlignment="1">
      <alignment horizontal="center" vertical="center"/>
      <protection/>
    </xf>
    <xf numFmtId="0" fontId="38" fillId="0" borderId="38" xfId="102" applyFont="1" applyFill="1" applyBorder="1" applyAlignment="1">
      <alignment horizontal="left" vertical="center"/>
      <protection/>
    </xf>
    <xf numFmtId="3" fontId="23" fillId="0" borderId="38" xfId="102" applyNumberFormat="1" applyFont="1" applyFill="1" applyBorder="1" applyAlignment="1">
      <alignment horizontal="right" vertical="center"/>
      <protection/>
    </xf>
    <xf numFmtId="0" fontId="52" fillId="0" borderId="38" xfId="102" applyFont="1" applyFill="1" applyBorder="1" applyAlignment="1">
      <alignment horizontal="center" vertical="center"/>
      <protection/>
    </xf>
    <xf numFmtId="0" fontId="52" fillId="0" borderId="38" xfId="102" applyFont="1" applyFill="1" applyBorder="1" applyAlignment="1">
      <alignment horizontal="left" vertical="center"/>
      <protection/>
    </xf>
    <xf numFmtId="0" fontId="54" fillId="0" borderId="38" xfId="102" applyFont="1" applyFill="1" applyBorder="1" applyAlignment="1">
      <alignment horizontal="center" vertical="center" wrapText="1"/>
      <protection/>
    </xf>
    <xf numFmtId="0" fontId="54" fillId="0" borderId="38" xfId="102" applyFont="1" applyFill="1" applyBorder="1" applyAlignment="1">
      <alignment horizontal="center" vertical="center"/>
      <protection/>
    </xf>
    <xf numFmtId="3" fontId="54" fillId="0" borderId="52" xfId="102" applyNumberFormat="1" applyFont="1" applyFill="1" applyBorder="1" applyAlignment="1">
      <alignment horizontal="center" vertical="center" wrapText="1"/>
      <protection/>
    </xf>
    <xf numFmtId="49" fontId="38" fillId="0" borderId="38" xfId="102" applyNumberFormat="1" applyFont="1" applyFill="1" applyBorder="1" applyAlignment="1">
      <alignment horizontal="center"/>
      <protection/>
    </xf>
    <xf numFmtId="1" fontId="52" fillId="0" borderId="38" xfId="102" applyNumberFormat="1" applyFont="1" applyFill="1" applyBorder="1" applyAlignment="1">
      <alignment horizontal="center"/>
      <protection/>
    </xf>
    <xf numFmtId="0" fontId="52" fillId="0" borderId="38" xfId="102" applyFont="1" applyFill="1" applyBorder="1" applyAlignment="1">
      <alignment/>
      <protection/>
    </xf>
    <xf numFmtId="1" fontId="23" fillId="0" borderId="38" xfId="98" applyNumberFormat="1" applyFont="1" applyFill="1" applyBorder="1" applyAlignment="1">
      <alignment horizontal="left" vertical="center"/>
      <protection/>
    </xf>
    <xf numFmtId="3" fontId="23" fillId="0" borderId="80" xfId="106" applyNumberFormat="1" applyFont="1" applyFill="1" applyBorder="1">
      <alignment/>
      <protection/>
    </xf>
    <xf numFmtId="0" fontId="23" fillId="0" borderId="72" xfId="106" applyFont="1" applyFill="1" applyBorder="1" applyAlignment="1">
      <alignment vertical="center" wrapText="1"/>
      <protection/>
    </xf>
    <xf numFmtId="0" fontId="23" fillId="0" borderId="68" xfId="0" applyFont="1" applyBorder="1" applyAlignment="1">
      <alignment/>
    </xf>
    <xf numFmtId="0" fontId="23" fillId="0" borderId="22" xfId="0" applyFont="1" applyBorder="1" applyAlignment="1">
      <alignment/>
    </xf>
    <xf numFmtId="2" fontId="38" fillId="0" borderId="79" xfId="0" applyNumberFormat="1" applyFont="1" applyBorder="1" applyAlignment="1">
      <alignment horizontal="center" vertical="top" wrapText="1"/>
    </xf>
    <xf numFmtId="2" fontId="38" fillId="0" borderId="81" xfId="0" applyNumberFormat="1" applyFont="1" applyBorder="1" applyAlignment="1">
      <alignment horizontal="center" vertical="top" wrapText="1"/>
    </xf>
    <xf numFmtId="2" fontId="38" fillId="0" borderId="60" xfId="0" applyNumberFormat="1" applyFont="1" applyBorder="1" applyAlignment="1">
      <alignment horizontal="center" vertical="top" wrapText="1"/>
    </xf>
    <xf numFmtId="2" fontId="48" fillId="0" borderId="60" xfId="0" applyNumberFormat="1" applyFont="1" applyBorder="1" applyAlignment="1">
      <alignment horizontal="center" vertical="top" wrapText="1"/>
    </xf>
    <xf numFmtId="2" fontId="44" fillId="0" borderId="81" xfId="0" applyNumberFormat="1" applyFont="1" applyBorder="1" applyAlignment="1">
      <alignment horizontal="center" vertical="top" wrapText="1"/>
    </xf>
    <xf numFmtId="0" fontId="38" fillId="0" borderId="60" xfId="0" applyFont="1" applyBorder="1" applyAlignment="1">
      <alignment/>
    </xf>
    <xf numFmtId="2" fontId="23" fillId="0" borderId="60" xfId="0" applyNumberFormat="1" applyFont="1" applyBorder="1" applyAlignment="1">
      <alignment horizontal="center" vertical="top" wrapText="1"/>
    </xf>
    <xf numFmtId="2" fontId="54" fillId="0" borderId="60" xfId="0" applyNumberFormat="1" applyFont="1" applyFill="1" applyBorder="1" applyAlignment="1">
      <alignment horizontal="center" vertical="top" wrapText="1"/>
    </xf>
    <xf numFmtId="2" fontId="44" fillId="0" borderId="81" xfId="0" applyNumberFormat="1" applyFont="1" applyFill="1" applyBorder="1" applyAlignment="1">
      <alignment horizontal="center" vertical="top" wrapText="1"/>
    </xf>
    <xf numFmtId="0" fontId="38" fillId="0" borderId="82" xfId="0" applyFont="1" applyBorder="1" applyAlignment="1">
      <alignment/>
    </xf>
    <xf numFmtId="2" fontId="23" fillId="0" borderId="83" xfId="0" applyNumberFormat="1" applyFont="1" applyBorder="1" applyAlignment="1">
      <alignment horizontal="center" vertical="top" wrapText="1"/>
    </xf>
    <xf numFmtId="3" fontId="23" fillId="0" borderId="61" xfId="103" applyNumberFormat="1" applyFont="1" applyBorder="1">
      <alignment/>
      <protection/>
    </xf>
    <xf numFmtId="3" fontId="23" fillId="0" borderId="60" xfId="103" applyNumberFormat="1" applyFont="1" applyBorder="1">
      <alignment/>
      <protection/>
    </xf>
    <xf numFmtId="3" fontId="23" fillId="0" borderId="72" xfId="102" applyNumberFormat="1" applyFont="1" applyBorder="1">
      <alignment/>
      <protection/>
    </xf>
    <xf numFmtId="3" fontId="23" fillId="0" borderId="78" xfId="102" applyNumberFormat="1" applyFont="1" applyBorder="1">
      <alignment/>
      <protection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41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3" fontId="41" fillId="0" borderId="14" xfId="0" applyNumberFormat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3" fontId="41" fillId="0" borderId="14" xfId="0" applyNumberFormat="1" applyFont="1" applyBorder="1" applyAlignment="1">
      <alignment horizontal="right" vertical="center" wrapText="1"/>
    </xf>
    <xf numFmtId="3" fontId="41" fillId="0" borderId="46" xfId="0" applyNumberFormat="1" applyFont="1" applyBorder="1" applyAlignment="1">
      <alignment horizontal="right" vertical="center" wrapText="1"/>
    </xf>
    <xf numFmtId="0" fontId="59" fillId="0" borderId="13" xfId="0" applyFont="1" applyBorder="1" applyAlignment="1">
      <alignment/>
    </xf>
    <xf numFmtId="3" fontId="59" fillId="0" borderId="14" xfId="0" applyNumberFormat="1" applyFont="1" applyBorder="1" applyAlignment="1">
      <alignment horizontal="right" vertical="center" wrapText="1"/>
    </xf>
    <xf numFmtId="3" fontId="59" fillId="0" borderId="46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0" fontId="36" fillId="0" borderId="13" xfId="0" applyFont="1" applyBorder="1" applyAlignment="1">
      <alignment wrapText="1"/>
    </xf>
    <xf numFmtId="3" fontId="36" fillId="0" borderId="14" xfId="0" applyNumberFormat="1" applyFont="1" applyBorder="1" applyAlignment="1">
      <alignment horizontal="right" vertical="center" wrapText="1"/>
    </xf>
    <xf numFmtId="3" fontId="36" fillId="0" borderId="46" xfId="0" applyNumberFormat="1" applyFont="1" applyFill="1" applyBorder="1" applyAlignment="1">
      <alignment horizontal="right" vertical="center" wrapText="1"/>
    </xf>
    <xf numFmtId="0" fontId="36" fillId="0" borderId="13" xfId="0" applyFont="1" applyBorder="1" applyAlignment="1">
      <alignment/>
    </xf>
    <xf numFmtId="0" fontId="34" fillId="0" borderId="13" xfId="0" applyFont="1" applyBorder="1" applyAlignment="1">
      <alignment/>
    </xf>
    <xf numFmtId="3" fontId="34" fillId="0" borderId="14" xfId="0" applyNumberFormat="1" applyFont="1" applyBorder="1" applyAlignment="1">
      <alignment horizontal="right" vertical="center" wrapText="1"/>
    </xf>
    <xf numFmtId="3" fontId="34" fillId="0" borderId="46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3" fontId="34" fillId="0" borderId="14" xfId="0" applyNumberFormat="1" applyFont="1" applyBorder="1" applyAlignment="1">
      <alignment/>
    </xf>
    <xf numFmtId="3" fontId="34" fillId="0" borderId="46" xfId="0" applyNumberFormat="1" applyFont="1" applyFill="1" applyBorder="1" applyAlignment="1">
      <alignment/>
    </xf>
    <xf numFmtId="0" fontId="34" fillId="0" borderId="13" xfId="0" applyFont="1" applyBorder="1" applyAlignment="1">
      <alignment horizontal="left" vertical="center" wrapText="1"/>
    </xf>
    <xf numFmtId="3" fontId="36" fillId="0" borderId="14" xfId="0" applyNumberFormat="1" applyFont="1" applyBorder="1" applyAlignment="1">
      <alignment/>
    </xf>
    <xf numFmtId="3" fontId="36" fillId="0" borderId="46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3" fontId="41" fillId="0" borderId="14" xfId="0" applyNumberFormat="1" applyFont="1" applyBorder="1" applyAlignment="1">
      <alignment/>
    </xf>
    <xf numFmtId="3" fontId="41" fillId="0" borderId="46" xfId="0" applyNumberFormat="1" applyFont="1" applyFill="1" applyBorder="1" applyAlignment="1">
      <alignment/>
    </xf>
    <xf numFmtId="0" fontId="41" fillId="0" borderId="13" xfId="0" applyFont="1" applyBorder="1" applyAlignment="1">
      <alignment shrinkToFit="1"/>
    </xf>
    <xf numFmtId="0" fontId="36" fillId="0" borderId="13" xfId="0" applyFont="1" applyBorder="1" applyAlignment="1">
      <alignment shrinkToFit="1"/>
    </xf>
    <xf numFmtId="0" fontId="34" fillId="0" borderId="13" xfId="0" applyFont="1" applyBorder="1" applyAlignment="1">
      <alignment shrinkToFit="1"/>
    </xf>
    <xf numFmtId="0" fontId="34" fillId="0" borderId="13" xfId="0" applyFont="1" applyBorder="1" applyAlignment="1">
      <alignment wrapText="1"/>
    </xf>
    <xf numFmtId="0" fontId="41" fillId="0" borderId="13" xfId="0" applyFont="1" applyBorder="1" applyAlignment="1">
      <alignment vertical="center" wrapText="1"/>
    </xf>
    <xf numFmtId="3" fontId="41" fillId="0" borderId="14" xfId="0" applyNumberFormat="1" applyFont="1" applyBorder="1" applyAlignment="1">
      <alignment vertical="center"/>
    </xf>
    <xf numFmtId="3" fontId="41" fillId="0" borderId="46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41" xfId="0" applyFont="1" applyBorder="1" applyAlignment="1">
      <alignment shrinkToFit="1"/>
    </xf>
    <xf numFmtId="3" fontId="41" fillId="0" borderId="42" xfId="0" applyNumberFormat="1" applyFont="1" applyBorder="1" applyAlignment="1">
      <alignment/>
    </xf>
    <xf numFmtId="3" fontId="41" fillId="0" borderId="47" xfId="0" applyNumberFormat="1" applyFont="1" applyFill="1" applyBorder="1" applyAlignment="1">
      <alignment/>
    </xf>
    <xf numFmtId="0" fontId="41" fillId="0" borderId="21" xfId="0" applyFont="1" applyBorder="1" applyAlignment="1">
      <alignment shrinkToFit="1"/>
    </xf>
    <xf numFmtId="3" fontId="41" fillId="0" borderId="22" xfId="0" applyNumberFormat="1" applyFont="1" applyBorder="1" applyAlignment="1">
      <alignment/>
    </xf>
    <xf numFmtId="0" fontId="41" fillId="0" borderId="60" xfId="0" applyFont="1" applyBorder="1" applyAlignment="1">
      <alignment horizontal="center" vertical="center"/>
    </xf>
    <xf numFmtId="3" fontId="41" fillId="0" borderId="60" xfId="0" applyNumberFormat="1" applyFont="1" applyBorder="1" applyAlignment="1">
      <alignment horizontal="right" vertical="center" wrapText="1"/>
    </xf>
    <xf numFmtId="0" fontId="29" fillId="0" borderId="84" xfId="0" applyFont="1" applyBorder="1" applyAlignment="1">
      <alignment/>
    </xf>
    <xf numFmtId="0" fontId="29" fillId="0" borderId="62" xfId="0" applyFont="1" applyBorder="1" applyAlignment="1">
      <alignment/>
    </xf>
    <xf numFmtId="0" fontId="29" fillId="0" borderId="19" xfId="0" applyFont="1" applyBorder="1" applyAlignment="1">
      <alignment/>
    </xf>
    <xf numFmtId="0" fontId="30" fillId="0" borderId="56" xfId="0" applyFont="1" applyBorder="1" applyAlignment="1">
      <alignment/>
    </xf>
    <xf numFmtId="0" fontId="29" fillId="0" borderId="56" xfId="0" applyFont="1" applyBorder="1" applyAlignment="1">
      <alignment/>
    </xf>
    <xf numFmtId="0" fontId="57" fillId="0" borderId="56" xfId="0" applyFont="1" applyBorder="1" applyAlignment="1">
      <alignment/>
    </xf>
    <xf numFmtId="0" fontId="30" fillId="0" borderId="60" xfId="0" applyFont="1" applyBorder="1" applyAlignment="1">
      <alignment horizontal="center"/>
    </xf>
    <xf numFmtId="3" fontId="23" fillId="0" borderId="78" xfId="106" applyNumberFormat="1" applyFont="1" applyFill="1" applyBorder="1" applyAlignment="1">
      <alignment vertical="center"/>
      <protection/>
    </xf>
    <xf numFmtId="0" fontId="23" fillId="0" borderId="38" xfId="102" applyFont="1" applyFill="1" applyBorder="1" applyAlignment="1">
      <alignment horizontal="left"/>
      <protection/>
    </xf>
    <xf numFmtId="0" fontId="38" fillId="0" borderId="51" xfId="102" applyFont="1" applyFill="1" applyBorder="1" applyAlignment="1">
      <alignment horizontal="center"/>
      <protection/>
    </xf>
    <xf numFmtId="0" fontId="23" fillId="0" borderId="38" xfId="98" applyFont="1" applyFill="1" applyBorder="1" applyAlignment="1">
      <alignment horizontal="center" vertical="center"/>
      <protection/>
    </xf>
    <xf numFmtId="1" fontId="23" fillId="0" borderId="38" xfId="98" applyNumberFormat="1" applyFont="1" applyBorder="1" applyAlignment="1">
      <alignment horizontal="left" vertical="center"/>
      <protection/>
    </xf>
    <xf numFmtId="0" fontId="23" fillId="0" borderId="51" xfId="102" applyFont="1" applyFill="1" applyBorder="1" applyAlignment="1">
      <alignment horizontal="left"/>
      <protection/>
    </xf>
    <xf numFmtId="0" fontId="22" fillId="0" borderId="18" xfId="0" applyFont="1" applyBorder="1" applyAlignment="1">
      <alignment horizontal="center" vertical="center" wrapText="1"/>
    </xf>
    <xf numFmtId="3" fontId="21" fillId="0" borderId="74" xfId="107" applyNumberFormat="1" applyFont="1" applyBorder="1">
      <alignment/>
      <protection/>
    </xf>
    <xf numFmtId="3" fontId="21" fillId="0" borderId="64" xfId="107" applyNumberFormat="1" applyFont="1" applyBorder="1">
      <alignment/>
      <protection/>
    </xf>
    <xf numFmtId="3" fontId="33" fillId="0" borderId="85" xfId="107" applyNumberFormat="1" applyFont="1" applyBorder="1">
      <alignment/>
      <protection/>
    </xf>
    <xf numFmtId="3" fontId="20" fillId="0" borderId="75" xfId="107" applyNumberFormat="1" applyFont="1" applyBorder="1">
      <alignment/>
      <protection/>
    </xf>
    <xf numFmtId="3" fontId="20" fillId="0" borderId="71" xfId="107" applyNumberFormat="1" applyFont="1" applyBorder="1">
      <alignment/>
      <protection/>
    </xf>
    <xf numFmtId="3" fontId="21" fillId="0" borderId="40" xfId="107" applyNumberFormat="1" applyFont="1" applyBorder="1">
      <alignment/>
      <protection/>
    </xf>
    <xf numFmtId="3" fontId="21" fillId="0" borderId="86" xfId="107" applyNumberFormat="1" applyFont="1" applyBorder="1">
      <alignment/>
      <protection/>
    </xf>
    <xf numFmtId="3" fontId="21" fillId="0" borderId="76" xfId="107" applyNumberFormat="1" applyFont="1" applyBorder="1">
      <alignment/>
      <protection/>
    </xf>
    <xf numFmtId="3" fontId="33" fillId="0" borderId="76" xfId="107" applyNumberFormat="1" applyFont="1" applyBorder="1">
      <alignment/>
      <protection/>
    </xf>
    <xf numFmtId="3" fontId="21" fillId="0" borderId="87" xfId="107" applyNumberFormat="1" applyFont="1" applyBorder="1">
      <alignment/>
      <protection/>
    </xf>
    <xf numFmtId="0" fontId="24" fillId="0" borderId="71" xfId="107" applyFont="1" applyBorder="1">
      <alignment/>
      <protection/>
    </xf>
    <xf numFmtId="0" fontId="24" fillId="0" borderId="65" xfId="107" applyFont="1" applyBorder="1">
      <alignment/>
      <protection/>
    </xf>
    <xf numFmtId="3" fontId="20" fillId="0" borderId="75" xfId="107" applyNumberFormat="1" applyFont="1" applyBorder="1">
      <alignment/>
      <protection/>
    </xf>
    <xf numFmtId="3" fontId="30" fillId="0" borderId="14" xfId="0" applyNumberFormat="1" applyFont="1" applyBorder="1" applyAlignment="1">
      <alignment/>
    </xf>
    <xf numFmtId="3" fontId="30" fillId="0" borderId="22" xfId="0" applyNumberFormat="1" applyFont="1" applyBorder="1" applyAlignment="1">
      <alignment/>
    </xf>
    <xf numFmtId="3" fontId="29" fillId="0" borderId="14" xfId="0" applyNumberFormat="1" applyFont="1" applyFill="1" applyBorder="1" applyAlignment="1">
      <alignment wrapText="1"/>
    </xf>
    <xf numFmtId="3" fontId="41" fillId="0" borderId="44" xfId="0" applyNumberFormat="1" applyFont="1" applyBorder="1" applyAlignment="1">
      <alignment horizontal="right" vertical="center" wrapText="1"/>
    </xf>
    <xf numFmtId="3" fontId="41" fillId="0" borderId="22" xfId="0" applyNumberFormat="1" applyFont="1" applyBorder="1" applyAlignment="1">
      <alignment horizontal="right" vertical="center" wrapText="1"/>
    </xf>
    <xf numFmtId="3" fontId="41" fillId="0" borderId="61" xfId="0" applyNumberFormat="1" applyFont="1" applyBorder="1" applyAlignment="1">
      <alignment horizontal="right" vertical="center" wrapText="1"/>
    </xf>
    <xf numFmtId="0" fontId="30" fillId="0" borderId="14" xfId="0" applyFont="1" applyBorder="1" applyAlignment="1">
      <alignment horizontal="center"/>
    </xf>
    <xf numFmtId="3" fontId="30" fillId="0" borderId="14" xfId="0" applyNumberFormat="1" applyFont="1" applyFill="1" applyBorder="1" applyAlignment="1">
      <alignment wrapText="1"/>
    </xf>
    <xf numFmtId="3" fontId="29" fillId="0" borderId="14" xfId="0" applyNumberFormat="1" applyFont="1" applyFill="1" applyBorder="1" applyAlignment="1">
      <alignment wrapText="1"/>
    </xf>
    <xf numFmtId="3" fontId="30" fillId="0" borderId="14" xfId="0" applyNumberFormat="1" applyFont="1" applyFill="1" applyBorder="1" applyAlignment="1">
      <alignment wrapText="1"/>
    </xf>
    <xf numFmtId="37" fontId="29" fillId="0" borderId="14" xfId="0" applyNumberFormat="1" applyFont="1" applyFill="1" applyBorder="1" applyAlignment="1">
      <alignment wrapText="1"/>
    </xf>
    <xf numFmtId="3" fontId="58" fillId="0" borderId="14" xfId="0" applyNumberFormat="1" applyFont="1" applyFill="1" applyBorder="1" applyAlignment="1">
      <alignment wrapText="1"/>
    </xf>
    <xf numFmtId="0" fontId="53" fillId="0" borderId="38" xfId="102" applyFont="1" applyFill="1" applyBorder="1">
      <alignment/>
      <protection/>
    </xf>
    <xf numFmtId="0" fontId="54" fillId="0" borderId="38" xfId="98" applyFont="1" applyFill="1" applyBorder="1" applyAlignment="1">
      <alignment horizontal="center" vertical="center"/>
      <protection/>
    </xf>
    <xf numFmtId="3" fontId="54" fillId="0" borderId="38" xfId="102" applyNumberFormat="1" applyFont="1" applyFill="1" applyBorder="1">
      <alignment/>
      <protection/>
    </xf>
    <xf numFmtId="0" fontId="40" fillId="0" borderId="38" xfId="102" applyFont="1" applyFill="1" applyBorder="1">
      <alignment/>
      <protection/>
    </xf>
    <xf numFmtId="0" fontId="61" fillId="0" borderId="38" xfId="102" applyFont="1" applyFill="1" applyBorder="1">
      <alignment/>
      <protection/>
    </xf>
    <xf numFmtId="0" fontId="61" fillId="0" borderId="38" xfId="102" applyFont="1" applyFill="1" applyBorder="1">
      <alignment/>
      <protection/>
    </xf>
    <xf numFmtId="0" fontId="40" fillId="0" borderId="38" xfId="102" applyFont="1" applyFill="1" applyBorder="1">
      <alignment/>
      <protection/>
    </xf>
    <xf numFmtId="0" fontId="40" fillId="0" borderId="72" xfId="102" applyFont="1" applyFill="1" applyBorder="1" applyAlignment="1">
      <alignment horizontal="left"/>
      <protection/>
    </xf>
    <xf numFmtId="3" fontId="23" fillId="0" borderId="72" xfId="102" applyNumberFormat="1" applyFont="1" applyFill="1" applyBorder="1" applyAlignment="1">
      <alignment horizontal="right"/>
      <protection/>
    </xf>
    <xf numFmtId="3" fontId="23" fillId="0" borderId="78" xfId="102" applyNumberFormat="1" applyFont="1" applyFill="1" applyBorder="1" applyAlignment="1">
      <alignment horizontal="right"/>
      <protection/>
    </xf>
    <xf numFmtId="1" fontId="38" fillId="0" borderId="38" xfId="102" applyNumberFormat="1" applyFont="1" applyBorder="1" applyAlignment="1">
      <alignment horizontal="center"/>
      <protection/>
    </xf>
    <xf numFmtId="1" fontId="38" fillId="0" borderId="49" xfId="102" applyNumberFormat="1" applyFont="1" applyBorder="1" applyAlignment="1">
      <alignment horizontal="center"/>
      <protection/>
    </xf>
    <xf numFmtId="0" fontId="38" fillId="0" borderId="49" xfId="102" applyFont="1" applyBorder="1" applyAlignment="1">
      <alignment/>
      <protection/>
    </xf>
    <xf numFmtId="0" fontId="50" fillId="0" borderId="49" xfId="102" applyFont="1" applyBorder="1">
      <alignment/>
      <protection/>
    </xf>
    <xf numFmtId="3" fontId="38" fillId="0" borderId="49" xfId="102" applyNumberFormat="1" applyFont="1" applyBorder="1">
      <alignment/>
      <protection/>
    </xf>
    <xf numFmtId="3" fontId="38" fillId="0" borderId="50" xfId="102" applyNumberFormat="1" applyFont="1" applyBorder="1">
      <alignment/>
      <protection/>
    </xf>
    <xf numFmtId="0" fontId="38" fillId="0" borderId="49" xfId="102" applyFont="1" applyFill="1" applyBorder="1" applyAlignment="1">
      <alignment horizontal="center" vertical="center"/>
      <protection/>
    </xf>
    <xf numFmtId="0" fontId="38" fillId="0" borderId="49" xfId="102" applyFont="1" applyFill="1" applyBorder="1" applyAlignment="1">
      <alignment horizontal="left" vertical="center"/>
      <protection/>
    </xf>
    <xf numFmtId="0" fontId="50" fillId="0" borderId="49" xfId="102" applyFont="1" applyFill="1" applyBorder="1">
      <alignment/>
      <protection/>
    </xf>
    <xf numFmtId="0" fontId="23" fillId="0" borderId="72" xfId="102" applyFont="1" applyBorder="1">
      <alignment/>
      <protection/>
    </xf>
    <xf numFmtId="0" fontId="23" fillId="0" borderId="0" xfId="103" applyFont="1">
      <alignment/>
      <protection/>
    </xf>
    <xf numFmtId="0" fontId="42" fillId="0" borderId="0" xfId="103" applyFont="1">
      <alignment/>
      <protection/>
    </xf>
    <xf numFmtId="0" fontId="23" fillId="0" borderId="0" xfId="103" applyFont="1" applyBorder="1">
      <alignment/>
      <protection/>
    </xf>
    <xf numFmtId="0" fontId="38" fillId="0" borderId="0" xfId="103" applyFont="1" applyBorder="1">
      <alignment/>
      <protection/>
    </xf>
    <xf numFmtId="0" fontId="38" fillId="0" borderId="62" xfId="103" applyFont="1" applyBorder="1" applyAlignment="1">
      <alignment horizontal="left"/>
      <protection/>
    </xf>
    <xf numFmtId="3" fontId="38" fillId="0" borderId="0" xfId="103" applyNumberFormat="1" applyFont="1" applyBorder="1" applyAlignment="1">
      <alignment horizontal="left"/>
      <protection/>
    </xf>
    <xf numFmtId="3" fontId="44" fillId="0" borderId="64" xfId="103" applyNumberFormat="1" applyFont="1" applyBorder="1">
      <alignment/>
      <protection/>
    </xf>
    <xf numFmtId="3" fontId="44" fillId="0" borderId="64" xfId="103" applyNumberFormat="1" applyFont="1" applyBorder="1">
      <alignment/>
      <protection/>
    </xf>
    <xf numFmtId="0" fontId="44" fillId="0" borderId="64" xfId="103" applyFont="1" applyBorder="1">
      <alignment/>
      <protection/>
    </xf>
    <xf numFmtId="0" fontId="23" fillId="0" borderId="72" xfId="106" applyFont="1" applyFill="1" applyBorder="1">
      <alignment/>
      <protection/>
    </xf>
    <xf numFmtId="0" fontId="38" fillId="0" borderId="38" xfId="102" applyFont="1" applyFill="1" applyBorder="1" applyAlignment="1">
      <alignment horizontal="center"/>
      <protection/>
    </xf>
    <xf numFmtId="0" fontId="38" fillId="0" borderId="38" xfId="102" applyFont="1" applyFill="1" applyBorder="1" applyAlignment="1">
      <alignment horizontal="left"/>
      <protection/>
    </xf>
    <xf numFmtId="0" fontId="23" fillId="0" borderId="38" xfId="102" applyFont="1" applyFill="1" applyBorder="1" applyAlignment="1">
      <alignment/>
      <protection/>
    </xf>
    <xf numFmtId="0" fontId="23" fillId="0" borderId="51" xfId="102" applyFont="1" applyFill="1" applyBorder="1" applyAlignment="1">
      <alignment horizontal="center"/>
      <protection/>
    </xf>
    <xf numFmtId="0" fontId="23" fillId="0" borderId="38" xfId="102" applyFont="1" applyFill="1" applyBorder="1" applyAlignment="1">
      <alignment horizontal="center"/>
      <protection/>
    </xf>
    <xf numFmtId="1" fontId="23" fillId="0" borderId="51" xfId="98" applyNumberFormat="1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0" fillId="0" borderId="72" xfId="102" applyFont="1" applyFill="1" applyBorder="1">
      <alignment/>
      <protection/>
    </xf>
    <xf numFmtId="0" fontId="50" fillId="0" borderId="39" xfId="102" applyFont="1" applyFill="1" applyBorder="1">
      <alignment/>
      <protection/>
    </xf>
    <xf numFmtId="0" fontId="23" fillId="0" borderId="39" xfId="98" applyFont="1" applyFill="1" applyBorder="1" applyAlignment="1">
      <alignment/>
      <protection/>
    </xf>
    <xf numFmtId="3" fontId="23" fillId="0" borderId="39" xfId="102" applyNumberFormat="1" applyFont="1" applyFill="1" applyBorder="1" applyAlignment="1">
      <alignment/>
      <protection/>
    </xf>
    <xf numFmtId="0" fontId="23" fillId="0" borderId="39" xfId="102" applyFont="1" applyFill="1" applyBorder="1" applyAlignment="1">
      <alignment wrapText="1"/>
      <protection/>
    </xf>
    <xf numFmtId="0" fontId="23" fillId="0" borderId="39" xfId="102" applyFont="1" applyFill="1" applyBorder="1" applyAlignment="1">
      <alignment/>
      <protection/>
    </xf>
    <xf numFmtId="3" fontId="23" fillId="0" borderId="88" xfId="102" applyNumberFormat="1" applyFont="1" applyFill="1" applyBorder="1" applyAlignment="1">
      <alignment wrapText="1"/>
      <protection/>
    </xf>
    <xf numFmtId="0" fontId="20" fillId="0" borderId="17" xfId="107" applyFont="1" applyBorder="1" applyAlignment="1">
      <alignment horizontal="center"/>
      <protection/>
    </xf>
    <xf numFmtId="3" fontId="21" fillId="0" borderId="71" xfId="107" applyNumberFormat="1" applyFont="1" applyBorder="1">
      <alignment/>
      <protection/>
    </xf>
    <xf numFmtId="3" fontId="20" fillId="0" borderId="64" xfId="107" applyNumberFormat="1" applyFont="1" applyBorder="1">
      <alignment/>
      <protection/>
    </xf>
    <xf numFmtId="3" fontId="21" fillId="0" borderId="68" xfId="107" applyNumberFormat="1" applyFont="1" applyBorder="1">
      <alignment/>
      <protection/>
    </xf>
    <xf numFmtId="3" fontId="20" fillId="0" borderId="85" xfId="107" applyNumberFormat="1" applyFont="1" applyBorder="1">
      <alignment/>
      <protection/>
    </xf>
    <xf numFmtId="3" fontId="21" fillId="0" borderId="65" xfId="107" applyNumberFormat="1" applyFont="1" applyBorder="1">
      <alignment/>
      <protection/>
    </xf>
    <xf numFmtId="3" fontId="33" fillId="0" borderId="65" xfId="107" applyNumberFormat="1" applyFont="1" applyBorder="1">
      <alignment/>
      <protection/>
    </xf>
    <xf numFmtId="0" fontId="30" fillId="0" borderId="14" xfId="0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right" vertical="center" wrapText="1"/>
    </xf>
    <xf numFmtId="3" fontId="57" fillId="0" borderId="14" xfId="0" applyNumberFormat="1" applyFont="1" applyBorder="1" applyAlignment="1">
      <alignment horizontal="right" vertical="center" wrapText="1"/>
    </xf>
    <xf numFmtId="3" fontId="29" fillId="0" borderId="14" xfId="0" applyNumberFormat="1" applyFont="1" applyBorder="1" applyAlignment="1">
      <alignment horizontal="right" vertical="center" wrapText="1"/>
    </xf>
    <xf numFmtId="3" fontId="58" fillId="0" borderId="14" xfId="0" applyNumberFormat="1" applyFont="1" applyBorder="1" applyAlignment="1">
      <alignment horizontal="right" vertical="center" wrapText="1"/>
    </xf>
    <xf numFmtId="3" fontId="58" fillId="0" borderId="14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3" fontId="30" fillId="0" borderId="14" xfId="0" applyNumberFormat="1" applyFont="1" applyBorder="1" applyAlignment="1">
      <alignment vertical="center"/>
    </xf>
    <xf numFmtId="3" fontId="30" fillId="0" borderId="42" xfId="0" applyNumberFormat="1" applyFont="1" applyBorder="1" applyAlignment="1">
      <alignment/>
    </xf>
    <xf numFmtId="3" fontId="30" fillId="0" borderId="45" xfId="0" applyNumberFormat="1" applyFont="1" applyBorder="1" applyAlignment="1">
      <alignment wrapText="1"/>
    </xf>
    <xf numFmtId="3" fontId="30" fillId="0" borderId="46" xfId="0" applyNumberFormat="1" applyFont="1" applyBorder="1" applyAlignment="1">
      <alignment wrapText="1"/>
    </xf>
    <xf numFmtId="3" fontId="29" fillId="0" borderId="46" xfId="0" applyNumberFormat="1" applyFont="1" applyBorder="1" applyAlignment="1">
      <alignment wrapText="1"/>
    </xf>
    <xf numFmtId="37" fontId="30" fillId="0" borderId="76" xfId="0" applyNumberFormat="1" applyFont="1" applyBorder="1" applyAlignment="1">
      <alignment wrapText="1"/>
    </xf>
    <xf numFmtId="3" fontId="29" fillId="0" borderId="46" xfId="0" applyNumberFormat="1" applyFont="1" applyBorder="1" applyAlignment="1">
      <alignment wrapText="1"/>
    </xf>
    <xf numFmtId="3" fontId="30" fillId="0" borderId="46" xfId="0" applyNumberFormat="1" applyFont="1" applyBorder="1" applyAlignment="1">
      <alignment wrapText="1"/>
    </xf>
    <xf numFmtId="37" fontId="29" fillId="0" borderId="76" xfId="0" applyNumberFormat="1" applyFont="1" applyBorder="1" applyAlignment="1">
      <alignment wrapText="1"/>
    </xf>
    <xf numFmtId="3" fontId="58" fillId="0" borderId="46" xfId="0" applyNumberFormat="1" applyFont="1" applyBorder="1" applyAlignment="1">
      <alignment wrapText="1"/>
    </xf>
    <xf numFmtId="3" fontId="58" fillId="0" borderId="47" xfId="0" applyNumberFormat="1" applyFont="1" applyBorder="1" applyAlignment="1">
      <alignment wrapText="1"/>
    </xf>
    <xf numFmtId="3" fontId="29" fillId="0" borderId="47" xfId="0" applyNumberFormat="1" applyFont="1" applyBorder="1" applyAlignment="1">
      <alignment wrapText="1"/>
    </xf>
    <xf numFmtId="3" fontId="30" fillId="0" borderId="47" xfId="0" applyNumberFormat="1" applyFont="1" applyBorder="1" applyAlignment="1">
      <alignment wrapText="1"/>
    </xf>
    <xf numFmtId="0" fontId="50" fillId="0" borderId="48" xfId="102" applyFont="1" applyFill="1" applyBorder="1">
      <alignment/>
      <protection/>
    </xf>
    <xf numFmtId="3" fontId="23" fillId="0" borderId="49" xfId="102" applyNumberFormat="1" applyFont="1" applyFill="1" applyBorder="1">
      <alignment/>
      <protection/>
    </xf>
    <xf numFmtId="3" fontId="38" fillId="0" borderId="49" xfId="102" applyNumberFormat="1" applyFont="1" applyFill="1" applyBorder="1">
      <alignment/>
      <protection/>
    </xf>
    <xf numFmtId="0" fontId="50" fillId="0" borderId="0" xfId="102" applyFont="1" applyFill="1" applyBorder="1">
      <alignment/>
      <protection/>
    </xf>
    <xf numFmtId="3" fontId="38" fillId="0" borderId="38" xfId="102" applyNumberFormat="1" applyFont="1" applyFill="1" applyBorder="1">
      <alignment/>
      <protection/>
    </xf>
    <xf numFmtId="0" fontId="50" fillId="0" borderId="53" xfId="102" applyFont="1" applyFill="1" applyBorder="1">
      <alignment/>
      <protection/>
    </xf>
    <xf numFmtId="0" fontId="50" fillId="0" borderId="89" xfId="102" applyFont="1" applyFill="1" applyBorder="1">
      <alignment/>
      <protection/>
    </xf>
    <xf numFmtId="3" fontId="23" fillId="0" borderId="39" xfId="102" applyNumberFormat="1" applyFont="1" applyFill="1" applyBorder="1">
      <alignment/>
      <protection/>
    </xf>
    <xf numFmtId="3" fontId="38" fillId="0" borderId="39" xfId="102" applyNumberFormat="1" applyFont="1" applyFill="1" applyBorder="1" applyAlignment="1">
      <alignment horizontal="right"/>
      <protection/>
    </xf>
    <xf numFmtId="0" fontId="50" fillId="0" borderId="38" xfId="102" applyFont="1" applyFill="1" applyBorder="1" applyAlignment="1">
      <alignment horizontal="left"/>
      <protection/>
    </xf>
    <xf numFmtId="0" fontId="50" fillId="0" borderId="52" xfId="102" applyFont="1" applyFill="1" applyBorder="1">
      <alignment/>
      <protection/>
    </xf>
    <xf numFmtId="1" fontId="38" fillId="0" borderId="39" xfId="102" applyNumberFormat="1" applyFont="1" applyFill="1" applyBorder="1" applyAlignment="1">
      <alignment horizontal="center"/>
      <protection/>
    </xf>
    <xf numFmtId="0" fontId="50" fillId="0" borderId="88" xfId="102" applyFont="1" applyFill="1" applyBorder="1">
      <alignment/>
      <protection/>
    </xf>
    <xf numFmtId="0" fontId="38" fillId="0" borderId="52" xfId="102" applyFont="1" applyFill="1" applyBorder="1">
      <alignment/>
      <protection/>
    </xf>
    <xf numFmtId="3" fontId="23" fillId="0" borderId="38" xfId="102" applyNumberFormat="1" applyFont="1" applyFill="1" applyBorder="1" applyAlignment="1" quotePrefix="1">
      <alignment/>
      <protection/>
    </xf>
    <xf numFmtId="3" fontId="23" fillId="0" borderId="52" xfId="102" applyNumberFormat="1" applyFont="1" applyFill="1" applyBorder="1" applyAlignment="1" quotePrefix="1">
      <alignment/>
      <protection/>
    </xf>
    <xf numFmtId="3" fontId="23" fillId="0" borderId="72" xfId="102" applyNumberFormat="1" applyFont="1" applyFill="1" applyBorder="1" applyAlignment="1">
      <alignment/>
      <protection/>
    </xf>
    <xf numFmtId="3" fontId="23" fillId="0" borderId="78" xfId="102" applyNumberFormat="1" applyFont="1" applyFill="1" applyBorder="1" applyAlignment="1">
      <alignment/>
      <protection/>
    </xf>
    <xf numFmtId="1" fontId="38" fillId="0" borderId="38" xfId="98" applyNumberFormat="1" applyFont="1" applyFill="1" applyBorder="1" applyAlignment="1">
      <alignment horizontal="center" vertical="center"/>
      <protection/>
    </xf>
    <xf numFmtId="0" fontId="38" fillId="0" borderId="38" xfId="98" applyFont="1" applyFill="1" applyBorder="1" applyAlignment="1">
      <alignment horizontal="left" vertical="center"/>
      <protection/>
    </xf>
    <xf numFmtId="3" fontId="50" fillId="0" borderId="52" xfId="102" applyNumberFormat="1" applyFont="1" applyFill="1" applyBorder="1">
      <alignment/>
      <protection/>
    </xf>
    <xf numFmtId="0" fontId="38" fillId="0" borderId="38" xfId="102" applyFont="1" applyFill="1" applyBorder="1" applyAlignment="1">
      <alignment wrapText="1"/>
      <protection/>
    </xf>
    <xf numFmtId="0" fontId="40" fillId="0" borderId="38" xfId="102" applyFont="1" applyFill="1" applyBorder="1" applyAlignment="1">
      <alignment horizontal="left"/>
      <protection/>
    </xf>
    <xf numFmtId="0" fontId="40" fillId="0" borderId="38" xfId="102" applyFont="1" applyFill="1" applyBorder="1" applyAlignment="1">
      <alignment horizontal="left"/>
      <protection/>
    </xf>
    <xf numFmtId="0" fontId="38" fillId="0" borderId="39" xfId="102" applyFont="1" applyFill="1" applyBorder="1" applyAlignment="1">
      <alignment/>
      <protection/>
    </xf>
    <xf numFmtId="0" fontId="50" fillId="0" borderId="39" xfId="102" applyFont="1" applyFill="1" applyBorder="1" applyAlignment="1">
      <alignment horizontal="left"/>
      <protection/>
    </xf>
    <xf numFmtId="1" fontId="38" fillId="0" borderId="72" xfId="102" applyNumberFormat="1" applyFont="1" applyFill="1" applyBorder="1" applyAlignment="1">
      <alignment horizontal="center"/>
      <protection/>
    </xf>
    <xf numFmtId="0" fontId="38" fillId="0" borderId="72" xfId="102" applyFont="1" applyFill="1" applyBorder="1" applyAlignment="1">
      <alignment/>
      <protection/>
    </xf>
    <xf numFmtId="0" fontId="50" fillId="0" borderId="72" xfId="102" applyFont="1" applyFill="1" applyBorder="1" applyAlignment="1">
      <alignment horizontal="left"/>
      <protection/>
    </xf>
    <xf numFmtId="3" fontId="23" fillId="0" borderId="72" xfId="102" applyNumberFormat="1" applyFont="1" applyFill="1" applyBorder="1">
      <alignment/>
      <protection/>
    </xf>
    <xf numFmtId="0" fontId="50" fillId="0" borderId="78" xfId="102" applyFont="1" applyFill="1" applyBorder="1">
      <alignment/>
      <protection/>
    </xf>
    <xf numFmtId="49" fontId="38" fillId="0" borderId="49" xfId="102" applyNumberFormat="1" applyFont="1" applyFill="1" applyBorder="1" applyAlignment="1">
      <alignment horizontal="center"/>
      <protection/>
    </xf>
    <xf numFmtId="0" fontId="38" fillId="0" borderId="49" xfId="102" applyFont="1" applyFill="1" applyBorder="1" applyAlignment="1">
      <alignment/>
      <protection/>
    </xf>
    <xf numFmtId="0" fontId="50" fillId="0" borderId="49" xfId="102" applyFont="1" applyFill="1" applyBorder="1" applyAlignment="1">
      <alignment horizontal="left"/>
      <protection/>
    </xf>
    <xf numFmtId="0" fontId="50" fillId="0" borderId="50" xfId="102" applyFont="1" applyFill="1" applyBorder="1">
      <alignment/>
      <protection/>
    </xf>
    <xf numFmtId="0" fontId="37" fillId="0" borderId="40" xfId="105" applyFont="1" applyFill="1" applyBorder="1" applyAlignment="1">
      <alignment horizontal="center" vertical="center" wrapText="1"/>
      <protection/>
    </xf>
    <xf numFmtId="0" fontId="37" fillId="0" borderId="40" xfId="105" applyFont="1" applyFill="1" applyBorder="1" applyAlignment="1">
      <alignment horizontal="center" vertical="center"/>
      <protection/>
    </xf>
    <xf numFmtId="0" fontId="37" fillId="0" borderId="14" xfId="105" applyFont="1" applyFill="1" applyBorder="1" applyAlignment="1">
      <alignment horizontal="center" vertical="center" wrapText="1"/>
      <protection/>
    </xf>
    <xf numFmtId="0" fontId="37" fillId="0" borderId="90" xfId="105" applyFont="1" applyFill="1" applyBorder="1" applyAlignment="1">
      <alignment horizontal="center" vertical="center" wrapText="1"/>
      <protection/>
    </xf>
    <xf numFmtId="0" fontId="38" fillId="0" borderId="14" xfId="105" applyFont="1" applyFill="1" applyBorder="1" applyAlignment="1">
      <alignment horizontal="left" vertical="center" wrapText="1"/>
      <protection/>
    </xf>
    <xf numFmtId="0" fontId="38" fillId="0" borderId="14" xfId="105" applyFont="1" applyFill="1" applyBorder="1" applyAlignment="1">
      <alignment vertical="center" wrapText="1"/>
      <protection/>
    </xf>
    <xf numFmtId="3" fontId="23" fillId="0" borderId="0" xfId="105" applyNumberFormat="1" applyFont="1" applyFill="1" applyBorder="1" applyAlignment="1">
      <alignment vertical="center"/>
      <protection/>
    </xf>
    <xf numFmtId="3" fontId="23" fillId="0" borderId="76" xfId="105" applyNumberFormat="1" applyFont="1" applyFill="1" applyBorder="1" applyAlignment="1">
      <alignment vertical="center" wrapText="1"/>
      <protection/>
    </xf>
    <xf numFmtId="3" fontId="23" fillId="0" borderId="17" xfId="105" applyNumberFormat="1" applyFont="1" applyFill="1" applyBorder="1" applyAlignment="1">
      <alignment vertical="center" wrapText="1"/>
      <protection/>
    </xf>
    <xf numFmtId="3" fontId="23" fillId="0" borderId="22" xfId="105" applyNumberFormat="1" applyFont="1" applyFill="1" applyBorder="1" applyAlignment="1">
      <alignment vertical="center" wrapText="1"/>
      <protection/>
    </xf>
    <xf numFmtId="0" fontId="23" fillId="0" borderId="22" xfId="105" applyFont="1" applyFill="1" applyBorder="1" applyAlignment="1">
      <alignment horizontal="left" vertical="center" wrapText="1"/>
      <protection/>
    </xf>
    <xf numFmtId="0" fontId="23" fillId="0" borderId="22" xfId="105" applyFont="1" applyFill="1" applyBorder="1" applyAlignment="1">
      <alignment vertical="center" wrapText="1"/>
      <protection/>
    </xf>
    <xf numFmtId="0" fontId="23" fillId="0" borderId="0" xfId="105" applyFont="1" applyFill="1" applyBorder="1" applyAlignment="1">
      <alignment horizontal="left" vertical="center" wrapText="1"/>
      <protection/>
    </xf>
    <xf numFmtId="0" fontId="38" fillId="0" borderId="0" xfId="105" applyFont="1" applyFill="1" applyBorder="1" applyAlignment="1">
      <alignment vertical="center" wrapText="1"/>
      <protection/>
    </xf>
    <xf numFmtId="3" fontId="23" fillId="0" borderId="0" xfId="105" applyNumberFormat="1" applyFont="1" applyFill="1" applyBorder="1" applyAlignment="1">
      <alignment vertical="center" wrapText="1"/>
      <protection/>
    </xf>
    <xf numFmtId="0" fontId="23" fillId="0" borderId="0" xfId="105" applyFont="1" applyFill="1" applyBorder="1" applyAlignment="1">
      <alignment vertical="center" wrapText="1"/>
      <protection/>
    </xf>
    <xf numFmtId="0" fontId="23" fillId="0" borderId="40" xfId="105" applyFont="1" applyFill="1" applyBorder="1" applyAlignment="1">
      <alignment vertical="center" wrapText="1"/>
      <protection/>
    </xf>
    <xf numFmtId="3" fontId="23" fillId="0" borderId="40" xfId="105" applyNumberFormat="1" applyFont="1" applyFill="1" applyBorder="1" applyAlignment="1">
      <alignment vertical="center"/>
      <protection/>
    </xf>
    <xf numFmtId="3" fontId="23" fillId="0" borderId="79" xfId="105" applyNumberFormat="1" applyFont="1" applyFill="1" applyBorder="1" applyAlignment="1">
      <alignment vertical="center"/>
      <protection/>
    </xf>
    <xf numFmtId="0" fontId="38" fillId="0" borderId="40" xfId="105" applyFont="1" applyFill="1" applyBorder="1" applyAlignment="1">
      <alignment horizontal="left" vertical="center" wrapText="1"/>
      <protection/>
    </xf>
    <xf numFmtId="0" fontId="38" fillId="0" borderId="40" xfId="105" applyFont="1" applyFill="1" applyBorder="1" applyAlignment="1">
      <alignment vertical="center" wrapText="1"/>
      <protection/>
    </xf>
    <xf numFmtId="0" fontId="38" fillId="0" borderId="22" xfId="105" applyFont="1" applyFill="1" applyBorder="1" applyAlignment="1">
      <alignment horizontal="left" vertical="center" wrapText="1"/>
      <protection/>
    </xf>
    <xf numFmtId="0" fontId="38" fillId="0" borderId="22" xfId="105" applyFont="1" applyFill="1" applyBorder="1" applyAlignment="1">
      <alignment vertical="center" wrapText="1"/>
      <protection/>
    </xf>
    <xf numFmtId="3" fontId="23" fillId="0" borderId="22" xfId="105" applyNumberFormat="1" applyFont="1" applyFill="1" applyBorder="1" applyAlignment="1">
      <alignment vertical="center"/>
      <protection/>
    </xf>
    <xf numFmtId="0" fontId="30" fillId="0" borderId="41" xfId="0" applyFont="1" applyBorder="1" applyAlignment="1">
      <alignment vertical="justify" wrapText="1"/>
    </xf>
    <xf numFmtId="3" fontId="30" fillId="0" borderId="42" xfId="0" applyNumberFormat="1" applyFont="1" applyBorder="1" applyAlignment="1">
      <alignment wrapText="1"/>
    </xf>
    <xf numFmtId="3" fontId="30" fillId="0" borderId="42" xfId="0" applyNumberFormat="1" applyFont="1" applyFill="1" applyBorder="1" applyAlignment="1">
      <alignment wrapText="1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3" fontId="22" fillId="0" borderId="57" xfId="0" applyNumberFormat="1" applyFont="1" applyBorder="1" applyAlignment="1">
      <alignment horizontal="right"/>
    </xf>
    <xf numFmtId="3" fontId="22" fillId="0" borderId="57" xfId="0" applyNumberFormat="1" applyFont="1" applyBorder="1" applyAlignment="1">
      <alignment/>
    </xf>
    <xf numFmtId="0" fontId="24" fillId="0" borderId="5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57" xfId="0" applyFont="1" applyBorder="1" applyAlignment="1">
      <alignment/>
    </xf>
    <xf numFmtId="0" fontId="24" fillId="0" borderId="87" xfId="0" applyFont="1" applyBorder="1" applyAlignment="1">
      <alignment/>
    </xf>
    <xf numFmtId="0" fontId="24" fillId="0" borderId="85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2" fillId="0" borderId="54" xfId="0" applyNumberFormat="1" applyFont="1" applyBorder="1" applyAlignment="1">
      <alignment/>
    </xf>
    <xf numFmtId="3" fontId="24" fillId="0" borderId="54" xfId="0" applyNumberFormat="1" applyFont="1" applyBorder="1" applyAlignment="1">
      <alignment/>
    </xf>
    <xf numFmtId="3" fontId="22" fillId="0" borderId="54" xfId="0" applyNumberFormat="1" applyFont="1" applyBorder="1" applyAlignment="1">
      <alignment/>
    </xf>
    <xf numFmtId="10" fontId="22" fillId="0" borderId="54" xfId="0" applyNumberFormat="1" applyFont="1" applyBorder="1" applyAlignment="1">
      <alignment/>
    </xf>
    <xf numFmtId="10" fontId="24" fillId="0" borderId="54" xfId="0" applyNumberFormat="1" applyFont="1" applyBorder="1" applyAlignment="1">
      <alignment/>
    </xf>
    <xf numFmtId="10" fontId="22" fillId="0" borderId="61" xfId="0" applyNumberFormat="1" applyFont="1" applyBorder="1" applyAlignment="1">
      <alignment/>
    </xf>
    <xf numFmtId="3" fontId="24" fillId="0" borderId="62" xfId="0" applyNumberFormat="1" applyFont="1" applyBorder="1" applyAlignment="1">
      <alignment/>
    </xf>
    <xf numFmtId="3" fontId="24" fillId="0" borderId="62" xfId="0" applyNumberFormat="1" applyFont="1" applyBorder="1" applyAlignment="1">
      <alignment/>
    </xf>
    <xf numFmtId="3" fontId="24" fillId="0" borderId="57" xfId="0" applyNumberFormat="1" applyFont="1" applyBorder="1" applyAlignment="1">
      <alignment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91" xfId="0" applyNumberFormat="1" applyFont="1" applyBorder="1" applyAlignment="1">
      <alignment/>
    </xf>
    <xf numFmtId="3" fontId="22" fillId="0" borderId="54" xfId="0" applyNumberFormat="1" applyFont="1" applyBorder="1" applyAlignment="1">
      <alignment/>
    </xf>
    <xf numFmtId="3" fontId="22" fillId="0" borderId="54" xfId="0" applyNumberFormat="1" applyFont="1" applyBorder="1" applyAlignment="1">
      <alignment/>
    </xf>
    <xf numFmtId="3" fontId="24" fillId="0" borderId="46" xfId="0" applyNumberFormat="1" applyFont="1" applyBorder="1" applyAlignment="1">
      <alignment/>
    </xf>
    <xf numFmtId="3" fontId="22" fillId="0" borderId="46" xfId="0" applyNumberFormat="1" applyFont="1" applyBorder="1" applyAlignment="1">
      <alignment/>
    </xf>
    <xf numFmtId="3" fontId="22" fillId="0" borderId="46" xfId="0" applyNumberFormat="1" applyFont="1" applyBorder="1" applyAlignment="1">
      <alignment/>
    </xf>
    <xf numFmtId="3" fontId="22" fillId="0" borderId="46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0" fontId="22" fillId="0" borderId="61" xfId="0" applyFont="1" applyBorder="1" applyAlignment="1">
      <alignment/>
    </xf>
    <xf numFmtId="10" fontId="22" fillId="0" borderId="81" xfId="0" applyNumberFormat="1" applyFont="1" applyBorder="1" applyAlignment="1">
      <alignment/>
    </xf>
    <xf numFmtId="10" fontId="24" fillId="0" borderId="81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3" fontId="24" fillId="0" borderId="64" xfId="0" applyNumberFormat="1" applyFont="1" applyBorder="1" applyAlignment="1">
      <alignment horizontal="right"/>
    </xf>
    <xf numFmtId="0" fontId="24" fillId="0" borderId="13" xfId="0" applyFont="1" applyBorder="1" applyAlignment="1">
      <alignment vertical="top" wrapText="1"/>
    </xf>
    <xf numFmtId="0" fontId="36" fillId="0" borderId="0" xfId="104" applyFont="1">
      <alignment/>
      <protection/>
    </xf>
    <xf numFmtId="0" fontId="36" fillId="0" borderId="0" xfId="104" applyFont="1" applyAlignment="1">
      <alignment wrapText="1"/>
      <protection/>
    </xf>
    <xf numFmtId="0" fontId="36" fillId="0" borderId="0" xfId="104" applyFont="1" applyAlignment="1">
      <alignment horizontal="center"/>
      <protection/>
    </xf>
    <xf numFmtId="0" fontId="36" fillId="0" borderId="0" xfId="104" applyFont="1" applyAlignment="1">
      <alignment horizontal="center" wrapText="1"/>
      <protection/>
    </xf>
    <xf numFmtId="3" fontId="36" fillId="0" borderId="0" xfId="104" applyNumberFormat="1" applyFont="1">
      <alignment/>
      <protection/>
    </xf>
    <xf numFmtId="3" fontId="36" fillId="0" borderId="0" xfId="104" applyNumberFormat="1" applyFont="1" applyAlignment="1">
      <alignment wrapText="1"/>
      <protection/>
    </xf>
    <xf numFmtId="3" fontId="41" fillId="0" borderId="22" xfId="104" applyNumberFormat="1" applyFont="1" applyBorder="1" applyAlignment="1">
      <alignment horizontal="center" vertical="center" wrapText="1"/>
      <protection/>
    </xf>
    <xf numFmtId="3" fontId="41" fillId="0" borderId="44" xfId="104" applyNumberFormat="1" applyFont="1" applyBorder="1" applyAlignment="1">
      <alignment horizontal="center" vertical="center" wrapText="1"/>
      <protection/>
    </xf>
    <xf numFmtId="0" fontId="36" fillId="0" borderId="19" xfId="104" applyFont="1" applyBorder="1" applyAlignment="1">
      <alignment vertical="center" wrapText="1"/>
      <protection/>
    </xf>
    <xf numFmtId="0" fontId="36" fillId="0" borderId="20" xfId="104" applyFont="1" applyBorder="1" applyAlignment="1">
      <alignment vertical="center"/>
      <protection/>
    </xf>
    <xf numFmtId="14" fontId="36" fillId="0" borderId="20" xfId="104" applyNumberFormat="1" applyFont="1" applyBorder="1" applyAlignment="1">
      <alignment horizontal="center" vertical="center"/>
      <protection/>
    </xf>
    <xf numFmtId="14" fontId="36" fillId="0" borderId="20" xfId="104" applyNumberFormat="1" applyFont="1" applyBorder="1" applyAlignment="1">
      <alignment horizontal="center" vertical="center" wrapText="1"/>
      <protection/>
    </xf>
    <xf numFmtId="3" fontId="36" fillId="0" borderId="20" xfId="104" applyNumberFormat="1" applyFont="1" applyBorder="1" applyAlignment="1">
      <alignment vertical="center"/>
      <protection/>
    </xf>
    <xf numFmtId="3" fontId="36" fillId="0" borderId="45" xfId="104" applyNumberFormat="1" applyFont="1" applyBorder="1" applyAlignment="1">
      <alignment vertical="center"/>
      <protection/>
    </xf>
    <xf numFmtId="3" fontId="36" fillId="0" borderId="81" xfId="104" applyNumberFormat="1" applyFont="1" applyBorder="1" applyAlignment="1">
      <alignment vertical="center" wrapText="1"/>
      <protection/>
    </xf>
    <xf numFmtId="0" fontId="36" fillId="0" borderId="13" xfId="104" applyFont="1" applyFill="1" applyBorder="1" applyAlignment="1">
      <alignment vertical="center" wrapText="1"/>
      <protection/>
    </xf>
    <xf numFmtId="0" fontId="36" fillId="0" borderId="14" xfId="104" applyFont="1" applyFill="1" applyBorder="1" applyAlignment="1">
      <alignment vertical="center"/>
      <protection/>
    </xf>
    <xf numFmtId="14" fontId="36" fillId="0" borderId="14" xfId="104" applyNumberFormat="1" applyFont="1" applyFill="1" applyBorder="1" applyAlignment="1">
      <alignment horizontal="center" vertical="center"/>
      <protection/>
    </xf>
    <xf numFmtId="14" fontId="36" fillId="0" borderId="14" xfId="104" applyNumberFormat="1" applyFont="1" applyFill="1" applyBorder="1" applyAlignment="1">
      <alignment horizontal="center" vertical="center" wrapText="1"/>
      <protection/>
    </xf>
    <xf numFmtId="3" fontId="36" fillId="0" borderId="14" xfId="104" applyNumberFormat="1" applyFont="1" applyFill="1" applyBorder="1" applyAlignment="1">
      <alignment vertical="center"/>
      <protection/>
    </xf>
    <xf numFmtId="3" fontId="36" fillId="0" borderId="46" xfId="104" applyNumberFormat="1" applyFont="1" applyFill="1" applyBorder="1" applyAlignment="1">
      <alignment vertical="center"/>
      <protection/>
    </xf>
    <xf numFmtId="3" fontId="36" fillId="0" borderId="60" xfId="104" applyNumberFormat="1" applyFont="1" applyFill="1" applyBorder="1" applyAlignment="1">
      <alignment vertical="center" wrapText="1"/>
      <protection/>
    </xf>
    <xf numFmtId="0" fontId="36" fillId="0" borderId="0" xfId="104" applyFont="1" applyFill="1">
      <alignment/>
      <protection/>
    </xf>
    <xf numFmtId="0" fontId="36" fillId="0" borderId="13" xfId="104" applyFont="1" applyBorder="1" applyAlignment="1">
      <alignment vertical="center" wrapText="1"/>
      <protection/>
    </xf>
    <xf numFmtId="0" fontId="36" fillId="0" borderId="14" xfId="104" applyFont="1" applyBorder="1" applyAlignment="1">
      <alignment vertical="center"/>
      <protection/>
    </xf>
    <xf numFmtId="14" fontId="36" fillId="0" borderId="14" xfId="104" applyNumberFormat="1" applyFont="1" applyBorder="1" applyAlignment="1">
      <alignment horizontal="center" vertical="center"/>
      <protection/>
    </xf>
    <xf numFmtId="14" fontId="36" fillId="0" borderId="14" xfId="104" applyNumberFormat="1" applyFont="1" applyBorder="1" applyAlignment="1">
      <alignment horizontal="center" vertical="center" wrapText="1"/>
      <protection/>
    </xf>
    <xf numFmtId="3" fontId="36" fillId="0" borderId="14" xfId="104" applyNumberFormat="1" applyFont="1" applyBorder="1" applyAlignment="1">
      <alignment vertical="center"/>
      <protection/>
    </xf>
    <xf numFmtId="3" fontId="36" fillId="0" borderId="46" xfId="104" applyNumberFormat="1" applyFont="1" applyBorder="1" applyAlignment="1">
      <alignment vertical="center"/>
      <protection/>
    </xf>
    <xf numFmtId="3" fontId="36" fillId="0" borderId="60" xfId="104" applyNumberFormat="1" applyFont="1" applyBorder="1" applyAlignment="1">
      <alignment vertical="center" wrapText="1"/>
      <protection/>
    </xf>
    <xf numFmtId="0" fontId="36" fillId="0" borderId="14" xfId="104" applyFont="1" applyBorder="1" applyAlignment="1">
      <alignment horizontal="center" vertical="center"/>
      <protection/>
    </xf>
    <xf numFmtId="0" fontId="36" fillId="0" borderId="14" xfId="104" applyFont="1" applyBorder="1" applyAlignment="1">
      <alignment horizontal="center" vertical="center" wrapText="1"/>
      <protection/>
    </xf>
    <xf numFmtId="0" fontId="36" fillId="0" borderId="41" xfId="104" applyFont="1" applyBorder="1" applyAlignment="1">
      <alignment vertical="center" wrapText="1"/>
      <protection/>
    </xf>
    <xf numFmtId="0" fontId="36" fillId="0" borderId="42" xfId="104" applyFont="1" applyBorder="1" applyAlignment="1">
      <alignment vertical="center"/>
      <protection/>
    </xf>
    <xf numFmtId="14" fontId="36" fillId="0" borderId="42" xfId="104" applyNumberFormat="1" applyFont="1" applyBorder="1" applyAlignment="1">
      <alignment horizontal="center" vertical="center"/>
      <protection/>
    </xf>
    <xf numFmtId="14" fontId="36" fillId="0" borderId="42" xfId="104" applyNumberFormat="1" applyFont="1" applyBorder="1" applyAlignment="1">
      <alignment horizontal="center" vertical="center" wrapText="1"/>
      <protection/>
    </xf>
    <xf numFmtId="3" fontId="36" fillId="0" borderId="42" xfId="104" applyNumberFormat="1" applyFont="1" applyBorder="1" applyAlignment="1">
      <alignment vertical="center"/>
      <protection/>
    </xf>
    <xf numFmtId="3" fontId="36" fillId="0" borderId="47" xfId="104" applyNumberFormat="1" applyFont="1" applyBorder="1" applyAlignment="1">
      <alignment vertical="center"/>
      <protection/>
    </xf>
    <xf numFmtId="3" fontId="36" fillId="0" borderId="82" xfId="104" applyNumberFormat="1" applyFont="1" applyBorder="1" applyAlignment="1">
      <alignment vertical="center" wrapText="1"/>
      <protection/>
    </xf>
    <xf numFmtId="0" fontId="41" fillId="0" borderId="67" xfId="104" applyFont="1" applyBorder="1" applyAlignment="1">
      <alignment wrapText="1"/>
      <protection/>
    </xf>
    <xf numFmtId="0" fontId="41" fillId="0" borderId="55" xfId="104" applyFont="1" applyBorder="1">
      <alignment/>
      <protection/>
    </xf>
    <xf numFmtId="0" fontId="41" fillId="0" borderId="55" xfId="104" applyFont="1" applyBorder="1" applyAlignment="1">
      <alignment horizontal="center"/>
      <protection/>
    </xf>
    <xf numFmtId="0" fontId="41" fillId="0" borderId="55" xfId="104" applyFont="1" applyBorder="1" applyAlignment="1">
      <alignment horizontal="center" wrapText="1"/>
      <protection/>
    </xf>
    <xf numFmtId="3" fontId="41" fillId="0" borderId="55" xfId="104" applyNumberFormat="1" applyFont="1" applyBorder="1">
      <alignment/>
      <protection/>
    </xf>
    <xf numFmtId="3" fontId="41" fillId="0" borderId="58" xfId="104" applyNumberFormat="1" applyFont="1" applyBorder="1">
      <alignment/>
      <protection/>
    </xf>
    <xf numFmtId="3" fontId="41" fillId="0" borderId="83" xfId="104" applyNumberFormat="1" applyFont="1" applyBorder="1">
      <alignment/>
      <protection/>
    </xf>
    <xf numFmtId="0" fontId="41" fillId="0" borderId="0" xfId="104" applyFont="1">
      <alignment/>
      <protection/>
    </xf>
    <xf numFmtId="0" fontId="38" fillId="0" borderId="0" xfId="0" applyFont="1" applyAlignment="1">
      <alignment/>
    </xf>
    <xf numFmtId="0" fontId="23" fillId="0" borderId="92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38" fillId="0" borderId="95" xfId="0" applyFont="1" applyBorder="1" applyAlignment="1">
      <alignment/>
    </xf>
    <xf numFmtId="0" fontId="24" fillId="0" borderId="0" xfId="111" applyFont="1" applyAlignment="1">
      <alignment horizontal="left"/>
      <protection/>
    </xf>
    <xf numFmtId="0" fontId="24" fillId="0" borderId="0" xfId="111" applyFont="1">
      <alignment/>
      <protection/>
    </xf>
    <xf numFmtId="3" fontId="24" fillId="0" borderId="0" xfId="111" applyNumberFormat="1" applyFont="1">
      <alignment/>
      <protection/>
    </xf>
    <xf numFmtId="0" fontId="0" fillId="0" borderId="0" xfId="111">
      <alignment/>
      <protection/>
    </xf>
    <xf numFmtId="0" fontId="57" fillId="0" borderId="0" xfId="111" applyFont="1" applyAlignment="1">
      <alignment horizontal="center"/>
      <protection/>
    </xf>
    <xf numFmtId="0" fontId="0" fillId="0" borderId="0" xfId="111" applyBorder="1">
      <alignment/>
      <protection/>
    </xf>
    <xf numFmtId="0" fontId="30" fillId="0" borderId="0" xfId="111" applyFont="1" applyAlignment="1">
      <alignment horizontal="centerContinuous"/>
      <protection/>
    </xf>
    <xf numFmtId="3" fontId="24" fillId="0" borderId="0" xfId="111" applyNumberFormat="1" applyFont="1" applyAlignment="1">
      <alignment horizontal="centerContinuous"/>
      <protection/>
    </xf>
    <xf numFmtId="3" fontId="24" fillId="0" borderId="0" xfId="111" applyNumberFormat="1" applyFont="1" applyAlignment="1">
      <alignment horizontal="right"/>
      <protection/>
    </xf>
    <xf numFmtId="0" fontId="24" fillId="0" borderId="34" xfId="111" applyFont="1" applyBorder="1" applyAlignment="1">
      <alignment horizontal="left" vertical="top"/>
      <protection/>
    </xf>
    <xf numFmtId="3" fontId="24" fillId="0" borderId="55" xfId="111" applyNumberFormat="1" applyFont="1" applyBorder="1" applyAlignment="1">
      <alignment horizontal="center" vertical="top" wrapText="1"/>
      <protection/>
    </xf>
    <xf numFmtId="3" fontId="24" fillId="0" borderId="83" xfId="111" applyNumberFormat="1" applyFont="1" applyBorder="1" applyAlignment="1">
      <alignment horizontal="center" vertical="top" wrapText="1"/>
      <protection/>
    </xf>
    <xf numFmtId="0" fontId="26" fillId="0" borderId="19" xfId="111" applyFont="1" applyBorder="1">
      <alignment/>
      <protection/>
    </xf>
    <xf numFmtId="0" fontId="26" fillId="0" borderId="20" xfId="111" applyFont="1" applyBorder="1">
      <alignment/>
      <protection/>
    </xf>
    <xf numFmtId="3" fontId="26" fillId="0" borderId="20" xfId="111" applyNumberFormat="1" applyFont="1" applyBorder="1">
      <alignment/>
      <protection/>
    </xf>
    <xf numFmtId="3" fontId="26" fillId="0" borderId="96" xfId="111" applyNumberFormat="1" applyFont="1" applyBorder="1">
      <alignment/>
      <protection/>
    </xf>
    <xf numFmtId="3" fontId="26" fillId="0" borderId="81" xfId="111" applyNumberFormat="1" applyFont="1" applyBorder="1">
      <alignment/>
      <protection/>
    </xf>
    <xf numFmtId="0" fontId="64" fillId="0" borderId="0" xfId="111" applyFont="1">
      <alignment/>
      <protection/>
    </xf>
    <xf numFmtId="0" fontId="24" fillId="0" borderId="13" xfId="111" applyFont="1" applyBorder="1">
      <alignment/>
      <protection/>
    </xf>
    <xf numFmtId="0" fontId="24" fillId="0" borderId="14" xfId="111" applyFont="1" applyBorder="1">
      <alignment/>
      <protection/>
    </xf>
    <xf numFmtId="3" fontId="24" fillId="0" borderId="14" xfId="111" applyNumberFormat="1" applyFont="1" applyBorder="1">
      <alignment/>
      <protection/>
    </xf>
    <xf numFmtId="3" fontId="24" fillId="0" borderId="97" xfId="111" applyNumberFormat="1" applyFont="1" applyBorder="1">
      <alignment/>
      <protection/>
    </xf>
    <xf numFmtId="3" fontId="24" fillId="0" borderId="60" xfId="111" applyNumberFormat="1" applyFont="1" applyBorder="1">
      <alignment/>
      <protection/>
    </xf>
    <xf numFmtId="0" fontId="26" fillId="0" borderId="13" xfId="111" applyFont="1" applyBorder="1">
      <alignment/>
      <protection/>
    </xf>
    <xf numFmtId="0" fontId="26" fillId="0" borderId="14" xfId="111" applyFont="1" applyBorder="1">
      <alignment/>
      <protection/>
    </xf>
    <xf numFmtId="3" fontId="26" fillId="0" borderId="14" xfId="111" applyNumberFormat="1" applyFont="1" applyBorder="1">
      <alignment/>
      <protection/>
    </xf>
    <xf numFmtId="3" fontId="26" fillId="0" borderId="97" xfId="111" applyNumberFormat="1" applyFont="1" applyBorder="1">
      <alignment/>
      <protection/>
    </xf>
    <xf numFmtId="3" fontId="26" fillId="0" borderId="60" xfId="111" applyNumberFormat="1" applyFont="1" applyBorder="1">
      <alignment/>
      <protection/>
    </xf>
    <xf numFmtId="0" fontId="22" fillId="0" borderId="21" xfId="111" applyFont="1" applyBorder="1">
      <alignment/>
      <protection/>
    </xf>
    <xf numFmtId="0" fontId="22" fillId="0" borderId="22" xfId="111" applyFont="1" applyBorder="1">
      <alignment/>
      <protection/>
    </xf>
    <xf numFmtId="3" fontId="22" fillId="0" borderId="17" xfId="111" applyNumberFormat="1" applyFont="1" applyBorder="1">
      <alignment/>
      <protection/>
    </xf>
    <xf numFmtId="3" fontId="22" fillId="0" borderId="98" xfId="111" applyNumberFormat="1" applyFont="1" applyBorder="1">
      <alignment/>
      <protection/>
    </xf>
    <xf numFmtId="3" fontId="22" fillId="0" borderId="61" xfId="111" applyNumberFormat="1" applyFont="1" applyBorder="1">
      <alignment/>
      <protection/>
    </xf>
    <xf numFmtId="0" fontId="27" fillId="0" borderId="0" xfId="111" applyFont="1">
      <alignment/>
      <protection/>
    </xf>
    <xf numFmtId="0" fontId="24" fillId="0" borderId="0" xfId="111" applyFont="1" applyBorder="1">
      <alignment/>
      <protection/>
    </xf>
    <xf numFmtId="3" fontId="24" fillId="0" borderId="0" xfId="111" applyNumberFormat="1" applyFont="1" applyBorder="1">
      <alignment/>
      <protection/>
    </xf>
    <xf numFmtId="0" fontId="24" fillId="0" borderId="0" xfId="111" applyFont="1" applyBorder="1" applyAlignment="1">
      <alignment horizontal="left" vertical="top"/>
      <protection/>
    </xf>
    <xf numFmtId="0" fontId="24" fillId="0" borderId="0" xfId="111" applyFont="1" applyBorder="1" applyAlignment="1">
      <alignment horizontal="center" vertical="top"/>
      <protection/>
    </xf>
    <xf numFmtId="3" fontId="24" fillId="0" borderId="0" xfId="111" applyNumberFormat="1" applyFont="1" applyBorder="1" applyAlignment="1">
      <alignment horizontal="center" vertical="top" wrapText="1"/>
      <protection/>
    </xf>
    <xf numFmtId="0" fontId="24" fillId="0" borderId="69" xfId="111" applyFont="1" applyBorder="1" applyAlignment="1">
      <alignment horizontal="center" vertical="top"/>
      <protection/>
    </xf>
    <xf numFmtId="3" fontId="26" fillId="0" borderId="86" xfId="111" applyNumberFormat="1" applyFont="1" applyBorder="1">
      <alignment/>
      <protection/>
    </xf>
    <xf numFmtId="3" fontId="24" fillId="0" borderId="76" xfId="111" applyNumberFormat="1" applyFont="1" applyBorder="1">
      <alignment/>
      <protection/>
    </xf>
    <xf numFmtId="3" fontId="26" fillId="0" borderId="76" xfId="111" applyNumberFormat="1" applyFont="1" applyBorder="1">
      <alignment/>
      <protection/>
    </xf>
    <xf numFmtId="3" fontId="22" fillId="0" borderId="22" xfId="111" applyNumberFormat="1" applyFont="1" applyBorder="1">
      <alignment/>
      <protection/>
    </xf>
    <xf numFmtId="3" fontId="24" fillId="0" borderId="0" xfId="100" applyNumberFormat="1" applyFont="1" applyAlignment="1">
      <alignment/>
      <protection/>
    </xf>
    <xf numFmtId="0" fontId="0" fillId="0" borderId="0" xfId="100">
      <alignment/>
      <protection/>
    </xf>
    <xf numFmtId="0" fontId="24" fillId="0" borderId="0" xfId="100" applyFont="1">
      <alignment/>
      <protection/>
    </xf>
    <xf numFmtId="0" fontId="25" fillId="0" borderId="0" xfId="100" applyFont="1" applyAlignment="1">
      <alignment horizontal="center"/>
      <protection/>
    </xf>
    <xf numFmtId="0" fontId="0" fillId="0" borderId="0" xfId="100" applyAlignment="1">
      <alignment/>
      <protection/>
    </xf>
    <xf numFmtId="0" fontId="24" fillId="0" borderId="0" xfId="100" applyFont="1" applyAlignment="1">
      <alignment horizontal="center"/>
      <protection/>
    </xf>
    <xf numFmtId="3" fontId="24" fillId="0" borderId="0" xfId="100" applyNumberFormat="1" applyFont="1" applyAlignment="1">
      <alignment horizontal="center"/>
      <protection/>
    </xf>
    <xf numFmtId="0" fontId="24" fillId="0" borderId="0" xfId="100" applyFont="1" applyAlignment="1">
      <alignment horizontal="right"/>
      <protection/>
    </xf>
    <xf numFmtId="0" fontId="22" fillId="0" borderId="89" xfId="100" applyFont="1" applyBorder="1" applyAlignment="1">
      <alignment horizontal="center" vertical="center" wrapText="1"/>
      <protection/>
    </xf>
    <xf numFmtId="0" fontId="22" fillId="0" borderId="39" xfId="100" applyFont="1" applyBorder="1" applyAlignment="1">
      <alignment horizontal="center" vertical="center" wrapText="1"/>
      <protection/>
    </xf>
    <xf numFmtId="3" fontId="22" fillId="0" borderId="39" xfId="100" applyNumberFormat="1" applyFont="1" applyBorder="1" applyAlignment="1">
      <alignment horizontal="center" vertical="top" wrapText="1"/>
      <protection/>
    </xf>
    <xf numFmtId="3" fontId="22" fillId="0" borderId="88" xfId="100" applyNumberFormat="1" applyFont="1" applyBorder="1" applyAlignment="1">
      <alignment horizontal="center" vertical="top" wrapText="1"/>
      <protection/>
    </xf>
    <xf numFmtId="0" fontId="24" fillId="0" borderId="51" xfId="100" applyFont="1" applyBorder="1" applyAlignment="1">
      <alignment horizontal="center" vertical="center"/>
      <protection/>
    </xf>
    <xf numFmtId="0" fontId="24" fillId="0" borderId="38" xfId="100" applyFont="1" applyBorder="1" applyAlignment="1">
      <alignment horizontal="justify" vertical="center"/>
      <protection/>
    </xf>
    <xf numFmtId="3" fontId="24" fillId="0" borderId="38" xfId="100" applyNumberFormat="1" applyFont="1" applyBorder="1" applyAlignment="1">
      <alignment vertical="center" wrapText="1"/>
      <protection/>
    </xf>
    <xf numFmtId="3" fontId="24" fillId="0" borderId="52" xfId="100" applyNumberFormat="1" applyFont="1" applyBorder="1" applyAlignment="1">
      <alignment vertical="center" wrapText="1"/>
      <protection/>
    </xf>
    <xf numFmtId="0" fontId="24" fillId="0" borderId="38" xfId="100" applyFont="1" applyBorder="1" applyAlignment="1">
      <alignment horizontal="justify" vertical="center" wrapText="1"/>
      <protection/>
    </xf>
    <xf numFmtId="0" fontId="25" fillId="0" borderId="38" xfId="100" applyFont="1" applyBorder="1" applyAlignment="1">
      <alignment vertical="center"/>
      <protection/>
    </xf>
    <xf numFmtId="3" fontId="22" fillId="0" borderId="38" xfId="100" applyNumberFormat="1" applyFont="1" applyBorder="1" applyAlignment="1">
      <alignment vertical="center" wrapText="1"/>
      <protection/>
    </xf>
    <xf numFmtId="3" fontId="22" fillId="0" borderId="52" xfId="100" applyNumberFormat="1" applyFont="1" applyBorder="1" applyAlignment="1">
      <alignment vertical="center" wrapText="1"/>
      <protection/>
    </xf>
    <xf numFmtId="0" fontId="22" fillId="0" borderId="51" xfId="100" applyFont="1" applyBorder="1" applyAlignment="1">
      <alignment horizontal="center" vertical="center"/>
      <protection/>
    </xf>
    <xf numFmtId="0" fontId="22" fillId="0" borderId="38" xfId="100" applyFont="1" applyBorder="1" applyAlignment="1">
      <alignment horizontal="justify" vertical="center" wrapText="1"/>
      <protection/>
    </xf>
    <xf numFmtId="3" fontId="22" fillId="0" borderId="38" xfId="100" applyNumberFormat="1" applyFont="1" applyFill="1" applyBorder="1" applyAlignment="1">
      <alignment vertical="center" wrapText="1"/>
      <protection/>
    </xf>
    <xf numFmtId="3" fontId="22" fillId="0" borderId="52" xfId="100" applyNumberFormat="1" applyFont="1" applyFill="1" applyBorder="1" applyAlignment="1">
      <alignment vertical="center" wrapText="1"/>
      <protection/>
    </xf>
    <xf numFmtId="0" fontId="22" fillId="0" borderId="38" xfId="100" applyFont="1" applyBorder="1" applyAlignment="1">
      <alignment vertical="center" wrapText="1"/>
      <protection/>
    </xf>
    <xf numFmtId="0" fontId="24" fillId="0" borderId="51" xfId="100" applyFont="1" applyFill="1" applyBorder="1" applyAlignment="1">
      <alignment horizontal="center" vertical="center"/>
      <protection/>
    </xf>
    <xf numFmtId="0" fontId="24" fillId="0" borderId="38" xfId="100" applyFont="1" applyFill="1" applyBorder="1" applyAlignment="1">
      <alignment horizontal="justify" vertical="center" wrapText="1"/>
      <protection/>
    </xf>
    <xf numFmtId="3" fontId="24" fillId="0" borderId="38" xfId="100" applyNumberFormat="1" applyFont="1" applyBorder="1" applyAlignment="1">
      <alignment vertical="center"/>
      <protection/>
    </xf>
    <xf numFmtId="0" fontId="24" fillId="0" borderId="53" xfId="100" applyFont="1" applyBorder="1" applyAlignment="1">
      <alignment horizontal="center"/>
      <protection/>
    </xf>
    <xf numFmtId="0" fontId="24" fillId="0" borderId="72" xfId="100" applyFont="1" applyFill="1" applyBorder="1" applyAlignment="1">
      <alignment horizontal="justify" vertical="center" wrapText="1"/>
      <protection/>
    </xf>
    <xf numFmtId="3" fontId="24" fillId="0" borderId="72" xfId="100" applyNumberFormat="1" applyFont="1" applyBorder="1" applyAlignment="1">
      <alignment vertical="center"/>
      <protection/>
    </xf>
    <xf numFmtId="3" fontId="26" fillId="0" borderId="99" xfId="111" applyNumberFormat="1" applyFont="1" applyBorder="1">
      <alignment/>
      <protection/>
    </xf>
    <xf numFmtId="3" fontId="24" fillId="0" borderId="78" xfId="100" applyNumberFormat="1" applyFont="1" applyBorder="1" applyAlignment="1">
      <alignment vertical="center" wrapText="1"/>
      <protection/>
    </xf>
    <xf numFmtId="0" fontId="24" fillId="0" borderId="38" xfId="100" applyFont="1" applyBorder="1" applyAlignment="1">
      <alignment horizontal="justify" vertical="center"/>
      <protection/>
    </xf>
    <xf numFmtId="3" fontId="24" fillId="0" borderId="38" xfId="100" applyNumberFormat="1" applyFont="1" applyBorder="1" applyAlignment="1">
      <alignment vertical="center" wrapText="1"/>
      <protection/>
    </xf>
    <xf numFmtId="3" fontId="24" fillId="0" borderId="52" xfId="100" applyNumberFormat="1" applyFont="1" applyBorder="1" applyAlignment="1">
      <alignment vertical="center" wrapText="1"/>
      <protection/>
    </xf>
    <xf numFmtId="0" fontId="24" fillId="0" borderId="38" xfId="100" applyFont="1" applyBorder="1" applyAlignment="1">
      <alignment horizontal="justify" vertical="center" wrapText="1"/>
      <protection/>
    </xf>
    <xf numFmtId="3" fontId="24" fillId="0" borderId="38" xfId="100" applyNumberFormat="1" applyFont="1" applyFill="1" applyBorder="1" applyAlignment="1">
      <alignment vertical="center" wrapText="1"/>
      <protection/>
    </xf>
    <xf numFmtId="3" fontId="24" fillId="0" borderId="52" xfId="100" applyNumberFormat="1" applyFont="1" applyFill="1" applyBorder="1" applyAlignment="1">
      <alignment vertical="center" wrapText="1"/>
      <protection/>
    </xf>
    <xf numFmtId="0" fontId="24" fillId="0" borderId="38" xfId="100" applyFont="1" applyBorder="1" applyAlignment="1">
      <alignment vertical="center" wrapText="1"/>
      <protection/>
    </xf>
    <xf numFmtId="0" fontId="24" fillId="0" borderId="38" xfId="100" applyFont="1" applyBorder="1" applyAlignment="1">
      <alignment vertical="center"/>
      <protection/>
    </xf>
    <xf numFmtId="0" fontId="20" fillId="0" borderId="26" xfId="107" applyFont="1" applyBorder="1">
      <alignment/>
      <protection/>
    </xf>
    <xf numFmtId="3" fontId="20" fillId="0" borderId="27" xfId="107" applyNumberFormat="1" applyFont="1" applyBorder="1">
      <alignment/>
      <protection/>
    </xf>
    <xf numFmtId="3" fontId="20" fillId="0" borderId="63" xfId="107" applyNumberFormat="1" applyFont="1" applyBorder="1">
      <alignment/>
      <protection/>
    </xf>
    <xf numFmtId="0" fontId="24" fillId="0" borderId="63" xfId="107" applyFont="1" applyBorder="1">
      <alignment/>
      <protection/>
    </xf>
    <xf numFmtId="3" fontId="21" fillId="0" borderId="87" xfId="107" applyNumberFormat="1" applyFont="1" applyBorder="1">
      <alignment/>
      <protection/>
    </xf>
    <xf numFmtId="3" fontId="32" fillId="0" borderId="0" xfId="103" applyNumberFormat="1" applyAlignment="1">
      <alignment/>
      <protection/>
    </xf>
    <xf numFmtId="3" fontId="23" fillId="0" borderId="79" xfId="103" applyNumberFormat="1" applyFont="1" applyBorder="1" applyAlignment="1">
      <alignment horizontal="center"/>
      <protection/>
    </xf>
    <xf numFmtId="3" fontId="38" fillId="0" borderId="60" xfId="103" applyNumberFormat="1" applyFont="1" applyBorder="1" applyAlignment="1">
      <alignment/>
      <protection/>
    </xf>
    <xf numFmtId="3" fontId="23" fillId="0" borderId="60" xfId="103" applyNumberFormat="1" applyFont="1" applyBorder="1" applyAlignment="1">
      <alignment/>
      <protection/>
    </xf>
    <xf numFmtId="3" fontId="23" fillId="0" borderId="61" xfId="103" applyNumberFormat="1" applyFont="1" applyBorder="1" applyAlignment="1">
      <alignment/>
      <protection/>
    </xf>
    <xf numFmtId="0" fontId="43" fillId="0" borderId="0" xfId="103" applyFont="1">
      <alignment/>
      <protection/>
    </xf>
    <xf numFmtId="3" fontId="38" fillId="0" borderId="0" xfId="103" applyNumberFormat="1" applyFont="1" applyAlignment="1">
      <alignment/>
      <protection/>
    </xf>
    <xf numFmtId="3" fontId="38" fillId="0" borderId="60" xfId="103" applyNumberFormat="1" applyFont="1" applyBorder="1">
      <alignment/>
      <protection/>
    </xf>
    <xf numFmtId="0" fontId="23" fillId="0" borderId="0" xfId="110" applyFont="1" applyBorder="1" applyAlignment="1">
      <alignment horizontal="center" vertical="center"/>
      <protection/>
    </xf>
    <xf numFmtId="0" fontId="23" fillId="0" borderId="0" xfId="110" applyFont="1" applyBorder="1" applyAlignment="1">
      <alignment horizontal="center" vertical="center" wrapText="1"/>
      <protection/>
    </xf>
    <xf numFmtId="0" fontId="38" fillId="0" borderId="0" xfId="110" applyFont="1" applyBorder="1">
      <alignment/>
      <protection/>
    </xf>
    <xf numFmtId="3" fontId="38" fillId="0" borderId="0" xfId="110" applyNumberFormat="1" applyFont="1" applyBorder="1">
      <alignment/>
      <protection/>
    </xf>
    <xf numFmtId="0" fontId="38" fillId="0" borderId="0" xfId="110" applyFont="1" applyBorder="1" applyAlignment="1">
      <alignment wrapText="1"/>
      <protection/>
    </xf>
    <xf numFmtId="3" fontId="38" fillId="0" borderId="14" xfId="0" applyNumberFormat="1" applyFont="1" applyBorder="1" applyAlignment="1">
      <alignment/>
    </xf>
    <xf numFmtId="0" fontId="38" fillId="0" borderId="97" xfId="0" applyFont="1" applyBorder="1" applyAlignment="1">
      <alignment/>
    </xf>
    <xf numFmtId="0" fontId="38" fillId="0" borderId="95" xfId="0" applyFont="1" applyBorder="1" applyAlignment="1">
      <alignment horizontal="left" wrapText="1"/>
    </xf>
    <xf numFmtId="0" fontId="38" fillId="0" borderId="100" xfId="0" applyFont="1" applyBorder="1" applyAlignment="1">
      <alignment wrapText="1"/>
    </xf>
    <xf numFmtId="3" fontId="38" fillId="0" borderId="42" xfId="0" applyNumberFormat="1" applyFont="1" applyBorder="1" applyAlignment="1">
      <alignment/>
    </xf>
    <xf numFmtId="0" fontId="38" fillId="0" borderId="101" xfId="0" applyFont="1" applyBorder="1" applyAlignment="1">
      <alignment/>
    </xf>
    <xf numFmtId="0" fontId="23" fillId="0" borderId="102" xfId="0" applyFont="1" applyBorder="1" applyAlignment="1">
      <alignment/>
    </xf>
    <xf numFmtId="3" fontId="23" fillId="0" borderId="103" xfId="0" applyNumberFormat="1" applyFont="1" applyBorder="1" applyAlignment="1">
      <alignment/>
    </xf>
    <xf numFmtId="0" fontId="23" fillId="0" borderId="104" xfId="0" applyFont="1" applyBorder="1" applyAlignment="1">
      <alignment/>
    </xf>
    <xf numFmtId="0" fontId="29" fillId="0" borderId="0" xfId="99" applyFont="1" applyFill="1">
      <alignment/>
      <protection/>
    </xf>
    <xf numFmtId="49" fontId="29" fillId="0" borderId="0" xfId="99" applyNumberFormat="1" applyFont="1" applyFill="1">
      <alignment/>
      <protection/>
    </xf>
    <xf numFmtId="3" fontId="30" fillId="0" borderId="0" xfId="99" applyNumberFormat="1" applyFont="1" applyFill="1" applyAlignment="1">
      <alignment horizontal="center"/>
      <protection/>
    </xf>
    <xf numFmtId="3" fontId="30" fillId="0" borderId="0" xfId="99" applyNumberFormat="1" applyFont="1" applyFill="1">
      <alignment/>
      <protection/>
    </xf>
    <xf numFmtId="3" fontId="29" fillId="0" borderId="0" xfId="99" applyNumberFormat="1" applyFont="1" applyFill="1">
      <alignment/>
      <protection/>
    </xf>
    <xf numFmtId="3" fontId="28" fillId="0" borderId="0" xfId="99" applyNumberFormat="1" applyFont="1" applyFill="1">
      <alignment/>
      <protection/>
    </xf>
    <xf numFmtId="0" fontId="28" fillId="0" borderId="0" xfId="99" applyFont="1" applyFill="1">
      <alignment/>
      <protection/>
    </xf>
    <xf numFmtId="0" fontId="30" fillId="0" borderId="0" xfId="99" applyFont="1" applyFill="1" applyBorder="1" applyAlignment="1">
      <alignment horizontal="center"/>
      <protection/>
    </xf>
    <xf numFmtId="0" fontId="30" fillId="0" borderId="0" xfId="99" applyFont="1" applyFill="1" applyAlignment="1">
      <alignment horizontal="center"/>
      <protection/>
    </xf>
    <xf numFmtId="3" fontId="0" fillId="0" borderId="0" xfId="99" applyNumberFormat="1" applyFill="1" applyAlignment="1">
      <alignment horizontal="left"/>
      <protection/>
    </xf>
    <xf numFmtId="0" fontId="0" fillId="0" borderId="0" xfId="99" applyFill="1" applyAlignment="1">
      <alignment horizontal="left"/>
      <protection/>
    </xf>
    <xf numFmtId="49" fontId="30" fillId="0" borderId="0" xfId="99" applyNumberFormat="1" applyFont="1" applyFill="1" applyBorder="1" applyAlignment="1">
      <alignment horizontal="center"/>
      <protection/>
    </xf>
    <xf numFmtId="0" fontId="55" fillId="0" borderId="0" xfId="99" applyFont="1" applyFill="1" applyBorder="1" applyAlignment="1">
      <alignment horizontal="center"/>
      <protection/>
    </xf>
    <xf numFmtId="3" fontId="55" fillId="0" borderId="0" xfId="99" applyNumberFormat="1" applyFont="1" applyFill="1" applyBorder="1" applyAlignment="1">
      <alignment horizontal="center"/>
      <protection/>
    </xf>
    <xf numFmtId="3" fontId="0" fillId="0" borderId="0" xfId="99" applyNumberFormat="1" applyFont="1" applyFill="1" applyBorder="1" applyAlignment="1">
      <alignment horizontal="center"/>
      <protection/>
    </xf>
    <xf numFmtId="0" fontId="24" fillId="0" borderId="47" xfId="99" applyFont="1" applyFill="1" applyBorder="1" applyAlignment="1">
      <alignment horizontal="center" vertical="center" wrapText="1"/>
      <protection/>
    </xf>
    <xf numFmtId="0" fontId="24" fillId="0" borderId="42" xfId="99" applyFont="1" applyFill="1" applyBorder="1" applyAlignment="1">
      <alignment horizontal="center" vertical="center" wrapText="1"/>
      <protection/>
    </xf>
    <xf numFmtId="49" fontId="24" fillId="0" borderId="105" xfId="99" applyNumberFormat="1" applyFont="1" applyFill="1" applyBorder="1" applyAlignment="1">
      <alignment horizontal="left" vertical="center"/>
      <protection/>
    </xf>
    <xf numFmtId="0" fontId="24" fillId="0" borderId="106" xfId="99" applyFont="1" applyFill="1" applyBorder="1" applyAlignment="1">
      <alignment horizontal="center" vertical="center" wrapText="1"/>
      <protection/>
    </xf>
    <xf numFmtId="0" fontId="24" fillId="0" borderId="105" xfId="99" applyFont="1" applyFill="1" applyBorder="1" applyAlignment="1">
      <alignment horizontal="center" vertical="center" wrapText="1"/>
      <protection/>
    </xf>
    <xf numFmtId="0" fontId="24" fillId="0" borderId="93" xfId="99" applyFont="1" applyFill="1" applyBorder="1" applyAlignment="1">
      <alignment horizontal="center" vertical="center" wrapText="1"/>
      <protection/>
    </xf>
    <xf numFmtId="3" fontId="28" fillId="0" borderId="14" xfId="99" applyNumberFormat="1" applyFont="1" applyFill="1" applyBorder="1">
      <alignment/>
      <protection/>
    </xf>
    <xf numFmtId="3" fontId="28" fillId="0" borderId="45" xfId="99" applyNumberFormat="1" applyFont="1" applyFill="1" applyBorder="1">
      <alignment/>
      <protection/>
    </xf>
    <xf numFmtId="0" fontId="29" fillId="0" borderId="107" xfId="99" applyFont="1" applyFill="1" applyBorder="1">
      <alignment/>
      <protection/>
    </xf>
    <xf numFmtId="0" fontId="29" fillId="0" borderId="96" xfId="99" applyFont="1" applyFill="1" applyBorder="1">
      <alignment/>
      <protection/>
    </xf>
    <xf numFmtId="0" fontId="29" fillId="0" borderId="45" xfId="99" applyFont="1" applyFill="1" applyBorder="1">
      <alignment/>
      <protection/>
    </xf>
    <xf numFmtId="49" fontId="57" fillId="0" borderId="86" xfId="99" applyNumberFormat="1" applyFont="1" applyFill="1" applyBorder="1">
      <alignment/>
      <protection/>
    </xf>
    <xf numFmtId="2" fontId="29" fillId="0" borderId="20" xfId="99" applyNumberFormat="1" applyFont="1" applyFill="1" applyBorder="1">
      <alignment/>
      <protection/>
    </xf>
    <xf numFmtId="3" fontId="29" fillId="0" borderId="20" xfId="99" applyNumberFormat="1" applyFont="1" applyFill="1" applyBorder="1" applyAlignment="1">
      <alignment horizontal="center"/>
      <protection/>
    </xf>
    <xf numFmtId="3" fontId="29" fillId="0" borderId="20" xfId="99" applyNumberFormat="1" applyFont="1" applyFill="1" applyBorder="1" applyAlignment="1">
      <alignment horizontal="right"/>
      <protection/>
    </xf>
    <xf numFmtId="3" fontId="57" fillId="0" borderId="45" xfId="99" applyNumberFormat="1" applyFont="1" applyFill="1" applyBorder="1" applyAlignment="1">
      <alignment horizontal="right"/>
      <protection/>
    </xf>
    <xf numFmtId="3" fontId="57" fillId="0" borderId="20" xfId="99" applyNumberFormat="1" applyFont="1" applyFill="1" applyBorder="1" applyAlignment="1">
      <alignment horizontal="right"/>
      <protection/>
    </xf>
    <xf numFmtId="3" fontId="57" fillId="0" borderId="14" xfId="99" applyNumberFormat="1" applyFont="1" applyFill="1" applyBorder="1" applyAlignment="1">
      <alignment horizontal="right"/>
      <protection/>
    </xf>
    <xf numFmtId="3" fontId="57" fillId="0" borderId="46" xfId="99" applyNumberFormat="1" applyFont="1" applyFill="1" applyBorder="1" applyAlignment="1">
      <alignment horizontal="right"/>
      <protection/>
    </xf>
    <xf numFmtId="0" fontId="29" fillId="0" borderId="95" xfId="99" applyFont="1" applyFill="1" applyBorder="1">
      <alignment/>
      <protection/>
    </xf>
    <xf numFmtId="3" fontId="57" fillId="0" borderId="97" xfId="99" applyNumberFormat="1" applyFont="1" applyFill="1" applyBorder="1">
      <alignment/>
      <protection/>
    </xf>
    <xf numFmtId="3" fontId="57" fillId="0" borderId="46" xfId="99" applyNumberFormat="1" applyFont="1" applyFill="1" applyBorder="1">
      <alignment/>
      <protection/>
    </xf>
    <xf numFmtId="3" fontId="30" fillId="0" borderId="97" xfId="99" applyNumberFormat="1" applyFont="1" applyFill="1" applyBorder="1">
      <alignment/>
      <protection/>
    </xf>
    <xf numFmtId="49" fontId="29" fillId="0" borderId="76" xfId="99" applyNumberFormat="1" applyFont="1" applyFill="1" applyBorder="1">
      <alignment/>
      <protection/>
    </xf>
    <xf numFmtId="2" fontId="29" fillId="0" borderId="14" xfId="99" applyNumberFormat="1" applyFont="1" applyFill="1" applyBorder="1">
      <alignment/>
      <protection/>
    </xf>
    <xf numFmtId="3" fontId="29" fillId="0" borderId="14" xfId="99" applyNumberFormat="1" applyFont="1" applyFill="1" applyBorder="1" applyAlignment="1">
      <alignment horizontal="center"/>
      <protection/>
    </xf>
    <xf numFmtId="3" fontId="29" fillId="0" borderId="14" xfId="99" applyNumberFormat="1" applyFont="1" applyFill="1" applyBorder="1" applyAlignment="1">
      <alignment horizontal="right"/>
      <protection/>
    </xf>
    <xf numFmtId="3" fontId="29" fillId="0" borderId="46" xfId="99" applyNumberFormat="1" applyFont="1" applyFill="1" applyBorder="1" applyAlignment="1">
      <alignment horizontal="right"/>
      <protection/>
    </xf>
    <xf numFmtId="0" fontId="29" fillId="0" borderId="97" xfId="99" applyFont="1" applyFill="1" applyBorder="1">
      <alignment/>
      <protection/>
    </xf>
    <xf numFmtId="0" fontId="29" fillId="0" borderId="46" xfId="99" applyFont="1" applyFill="1" applyBorder="1">
      <alignment/>
      <protection/>
    </xf>
    <xf numFmtId="3" fontId="29" fillId="0" borderId="97" xfId="99" applyNumberFormat="1" applyFont="1" applyFill="1" applyBorder="1">
      <alignment/>
      <protection/>
    </xf>
    <xf numFmtId="49" fontId="58" fillId="0" borderId="76" xfId="99" applyNumberFormat="1" applyFont="1" applyFill="1" applyBorder="1">
      <alignment/>
      <protection/>
    </xf>
    <xf numFmtId="3" fontId="58" fillId="0" borderId="46" xfId="99" applyNumberFormat="1" applyFont="1" applyFill="1" applyBorder="1" applyAlignment="1">
      <alignment horizontal="right"/>
      <protection/>
    </xf>
    <xf numFmtId="3" fontId="58" fillId="0" borderId="14" xfId="99" applyNumberFormat="1" applyFont="1" applyFill="1" applyBorder="1" applyAlignment="1">
      <alignment horizontal="right"/>
      <protection/>
    </xf>
    <xf numFmtId="3" fontId="58" fillId="0" borderId="97" xfId="99" applyNumberFormat="1" applyFont="1" applyFill="1" applyBorder="1">
      <alignment/>
      <protection/>
    </xf>
    <xf numFmtId="3" fontId="58" fillId="0" borderId="46" xfId="99" applyNumberFormat="1" applyFont="1" applyFill="1" applyBorder="1">
      <alignment/>
      <protection/>
    </xf>
    <xf numFmtId="49" fontId="34" fillId="0" borderId="76" xfId="99" applyNumberFormat="1" applyFont="1" applyFill="1" applyBorder="1">
      <alignment/>
      <protection/>
    </xf>
    <xf numFmtId="0" fontId="36" fillId="0" borderId="14" xfId="99" applyFont="1" applyFill="1" applyBorder="1">
      <alignment/>
      <protection/>
    </xf>
    <xf numFmtId="3" fontId="36" fillId="0" borderId="14" xfId="99" applyNumberFormat="1" applyFont="1" applyFill="1" applyBorder="1" applyAlignment="1">
      <alignment horizontal="center"/>
      <protection/>
    </xf>
    <xf numFmtId="3" fontId="36" fillId="0" borderId="14" xfId="99" applyNumberFormat="1" applyFont="1" applyFill="1" applyBorder="1" applyAlignment="1">
      <alignment horizontal="right"/>
      <protection/>
    </xf>
    <xf numFmtId="0" fontId="36" fillId="0" borderId="95" xfId="99" applyFont="1" applyFill="1" applyBorder="1">
      <alignment/>
      <protection/>
    </xf>
    <xf numFmtId="0" fontId="50" fillId="0" borderId="0" xfId="99" applyFont="1" applyFill="1" applyBorder="1">
      <alignment/>
      <protection/>
    </xf>
    <xf numFmtId="49" fontId="58" fillId="0" borderId="76" xfId="99" applyNumberFormat="1" applyFont="1" applyFill="1" applyBorder="1">
      <alignment/>
      <protection/>
    </xf>
    <xf numFmtId="0" fontId="58" fillId="0" borderId="14" xfId="99" applyFont="1" applyFill="1" applyBorder="1">
      <alignment/>
      <protection/>
    </xf>
    <xf numFmtId="0" fontId="29" fillId="0" borderId="95" xfId="99" applyFont="1" applyFill="1" applyBorder="1">
      <alignment/>
      <protection/>
    </xf>
    <xf numFmtId="0" fontId="24" fillId="0" borderId="0" xfId="99" applyFont="1" applyFill="1">
      <alignment/>
      <protection/>
    </xf>
    <xf numFmtId="3" fontId="29" fillId="0" borderId="14" xfId="99" applyNumberFormat="1" applyFont="1" applyFill="1" applyBorder="1" applyAlignment="1">
      <alignment horizontal="right"/>
      <protection/>
    </xf>
    <xf numFmtId="49" fontId="57" fillId="0" borderId="76" xfId="99" applyNumberFormat="1" applyFont="1" applyFill="1" applyBorder="1">
      <alignment/>
      <protection/>
    </xf>
    <xf numFmtId="3" fontId="29" fillId="0" borderId="14" xfId="99" applyNumberFormat="1" applyFont="1" applyFill="1" applyBorder="1">
      <alignment/>
      <protection/>
    </xf>
    <xf numFmtId="49" fontId="36" fillId="0" borderId="14" xfId="99" applyNumberFormat="1" applyFont="1" applyFill="1" applyBorder="1" applyAlignment="1">
      <alignment horizontal="right"/>
      <protection/>
    </xf>
    <xf numFmtId="3" fontId="57" fillId="0" borderId="95" xfId="99" applyNumberFormat="1" applyFont="1" applyFill="1" applyBorder="1" applyAlignment="1">
      <alignment horizontal="right"/>
      <protection/>
    </xf>
    <xf numFmtId="3" fontId="57" fillId="0" borderId="97" xfId="99" applyNumberFormat="1" applyFont="1" applyFill="1" applyBorder="1" applyAlignment="1">
      <alignment horizontal="right"/>
      <protection/>
    </xf>
    <xf numFmtId="49" fontId="29" fillId="0" borderId="76" xfId="99" applyNumberFormat="1" applyFont="1" applyFill="1" applyBorder="1">
      <alignment/>
      <protection/>
    </xf>
    <xf numFmtId="3" fontId="29" fillId="0" borderId="95" xfId="99" applyNumberFormat="1" applyFont="1" applyFill="1" applyBorder="1">
      <alignment/>
      <protection/>
    </xf>
    <xf numFmtId="3" fontId="29" fillId="0" borderId="46" xfId="99" applyNumberFormat="1" applyFont="1" applyFill="1" applyBorder="1">
      <alignment/>
      <protection/>
    </xf>
    <xf numFmtId="49" fontId="29" fillId="0" borderId="14" xfId="99" applyNumberFormat="1" applyFont="1" applyFill="1" applyBorder="1" applyAlignment="1">
      <alignment horizontal="right"/>
      <protection/>
    </xf>
    <xf numFmtId="49" fontId="29" fillId="0" borderId="76" xfId="99" applyNumberFormat="1" applyFont="1" applyFill="1" applyBorder="1" applyAlignment="1">
      <alignment vertical="center" wrapText="1"/>
      <protection/>
    </xf>
    <xf numFmtId="0" fontId="29" fillId="0" borderId="14" xfId="99" applyFont="1" applyFill="1" applyBorder="1">
      <alignment/>
      <protection/>
    </xf>
    <xf numFmtId="3" fontId="29" fillId="0" borderId="14" xfId="99" applyNumberFormat="1" applyFont="1" applyFill="1" applyBorder="1" applyAlignment="1">
      <alignment horizontal="center"/>
      <protection/>
    </xf>
    <xf numFmtId="49" fontId="30" fillId="0" borderId="76" xfId="99" applyNumberFormat="1" applyFont="1" applyFill="1" applyBorder="1" applyAlignment="1">
      <alignment/>
      <protection/>
    </xf>
    <xf numFmtId="0" fontId="30" fillId="0" borderId="14" xfId="99" applyFont="1" applyFill="1" applyBorder="1" applyAlignment="1">
      <alignment/>
      <protection/>
    </xf>
    <xf numFmtId="3" fontId="30" fillId="0" borderId="14" xfId="99" applyNumberFormat="1" applyFont="1" applyFill="1" applyBorder="1" applyAlignment="1">
      <alignment horizontal="center"/>
      <protection/>
    </xf>
    <xf numFmtId="0" fontId="30" fillId="0" borderId="14" xfId="99" applyFont="1" applyFill="1" applyBorder="1" applyAlignment="1">
      <alignment horizontal="right" vertical="center" wrapText="1"/>
      <protection/>
    </xf>
    <xf numFmtId="3" fontId="30" fillId="0" borderId="46" xfId="99" applyNumberFormat="1" applyFont="1" applyFill="1" applyBorder="1" applyAlignment="1">
      <alignment horizontal="right"/>
      <protection/>
    </xf>
    <xf numFmtId="3" fontId="30" fillId="0" borderId="14" xfId="99" applyNumberFormat="1" applyFont="1" applyFill="1" applyBorder="1" applyAlignment="1">
      <alignment horizontal="right"/>
      <protection/>
    </xf>
    <xf numFmtId="3" fontId="30" fillId="0" borderId="95" xfId="99" applyNumberFormat="1" applyFont="1" applyFill="1" applyBorder="1" applyAlignment="1">
      <alignment horizontal="right"/>
      <protection/>
    </xf>
    <xf numFmtId="3" fontId="30" fillId="0" borderId="97" xfId="99" applyNumberFormat="1" applyFont="1" applyFill="1" applyBorder="1" applyAlignment="1">
      <alignment horizontal="right"/>
      <protection/>
    </xf>
    <xf numFmtId="49" fontId="29" fillId="0" borderId="76" xfId="99" applyNumberFormat="1" applyFont="1" applyFill="1" applyBorder="1" applyAlignment="1">
      <alignment vertical="center" wrapText="1"/>
      <protection/>
    </xf>
    <xf numFmtId="3" fontId="36" fillId="0" borderId="14" xfId="99" applyNumberFormat="1" applyFont="1" applyFill="1" applyBorder="1">
      <alignment/>
      <protection/>
    </xf>
    <xf numFmtId="49" fontId="30" fillId="0" borderId="76" xfId="99" applyNumberFormat="1" applyFont="1" applyFill="1" applyBorder="1" applyAlignment="1">
      <alignment vertical="center" wrapText="1"/>
      <protection/>
    </xf>
    <xf numFmtId="49" fontId="30" fillId="0" borderId="76" xfId="99" applyNumberFormat="1" applyFont="1" applyFill="1" applyBorder="1">
      <alignment/>
      <protection/>
    </xf>
    <xf numFmtId="3" fontId="29" fillId="0" borderId="14" xfId="99" applyNumberFormat="1" applyFont="1" applyFill="1" applyBorder="1">
      <alignment/>
      <protection/>
    </xf>
    <xf numFmtId="3" fontId="29" fillId="0" borderId="95" xfId="99" applyNumberFormat="1" applyFont="1" applyFill="1" applyBorder="1" applyAlignment="1">
      <alignment horizontal="right"/>
      <protection/>
    </xf>
    <xf numFmtId="3" fontId="29" fillId="0" borderId="97" xfId="99" applyNumberFormat="1" applyFont="1" applyFill="1" applyBorder="1" applyAlignment="1">
      <alignment horizontal="right"/>
      <protection/>
    </xf>
    <xf numFmtId="0" fontId="30" fillId="0" borderId="95" xfId="99" applyFont="1" applyFill="1" applyBorder="1">
      <alignment/>
      <protection/>
    </xf>
    <xf numFmtId="3" fontId="30" fillId="0" borderId="46" xfId="99" applyNumberFormat="1" applyFont="1" applyFill="1" applyBorder="1">
      <alignment/>
      <protection/>
    </xf>
    <xf numFmtId="0" fontId="29" fillId="0" borderId="14" xfId="99" applyFont="1" applyFill="1" applyBorder="1" applyAlignment="1">
      <alignment horizontal="right"/>
      <protection/>
    </xf>
    <xf numFmtId="0" fontId="29" fillId="0" borderId="42" xfId="99" applyFont="1" applyFill="1" applyBorder="1">
      <alignment/>
      <protection/>
    </xf>
    <xf numFmtId="49" fontId="28" fillId="0" borderId="76" xfId="99" applyNumberFormat="1" applyFont="1" applyFill="1" applyBorder="1" applyAlignment="1">
      <alignment vertical="center" wrapText="1"/>
      <protection/>
    </xf>
    <xf numFmtId="3" fontId="29" fillId="0" borderId="42" xfId="99" applyNumberFormat="1" applyFont="1" applyFill="1" applyBorder="1" applyAlignment="1">
      <alignment horizontal="center"/>
      <protection/>
    </xf>
    <xf numFmtId="3" fontId="29" fillId="0" borderId="42" xfId="99" applyNumberFormat="1" applyFont="1" applyFill="1" applyBorder="1" applyAlignment="1">
      <alignment horizontal="right"/>
      <protection/>
    </xf>
    <xf numFmtId="3" fontId="30" fillId="0" borderId="47" xfId="99" applyNumberFormat="1" applyFont="1" applyFill="1" applyBorder="1" applyAlignment="1">
      <alignment horizontal="right"/>
      <protection/>
    </xf>
    <xf numFmtId="3" fontId="30" fillId="0" borderId="42" xfId="99" applyNumberFormat="1" applyFont="1" applyFill="1" applyBorder="1" applyAlignment="1">
      <alignment horizontal="right"/>
      <protection/>
    </xf>
    <xf numFmtId="3" fontId="29" fillId="0" borderId="22" xfId="99" applyNumberFormat="1" applyFont="1" applyFill="1" applyBorder="1" applyAlignment="1">
      <alignment horizontal="center"/>
      <protection/>
    </xf>
    <xf numFmtId="172" fontId="29" fillId="0" borderId="22" xfId="99" applyNumberFormat="1" applyFont="1" applyFill="1" applyBorder="1" applyAlignment="1">
      <alignment horizontal="right"/>
      <protection/>
    </xf>
    <xf numFmtId="3" fontId="30" fillId="0" borderId="44" xfId="99" applyNumberFormat="1" applyFont="1" applyFill="1" applyBorder="1" applyAlignment="1">
      <alignment horizontal="right"/>
      <protection/>
    </xf>
    <xf numFmtId="3" fontId="30" fillId="0" borderId="22" xfId="99" applyNumberFormat="1" applyFont="1" applyFill="1" applyBorder="1" applyAlignment="1">
      <alignment horizontal="right"/>
      <protection/>
    </xf>
    <xf numFmtId="0" fontId="29" fillId="0" borderId="108" xfId="99" applyFont="1" applyFill="1" applyBorder="1">
      <alignment/>
      <protection/>
    </xf>
    <xf numFmtId="3" fontId="30" fillId="0" borderId="98" xfId="99" applyNumberFormat="1" applyFont="1" applyFill="1" applyBorder="1">
      <alignment/>
      <protection/>
    </xf>
    <xf numFmtId="3" fontId="30" fillId="0" borderId="44" xfId="99" applyNumberFormat="1" applyFont="1" applyFill="1" applyBorder="1">
      <alignment/>
      <protection/>
    </xf>
    <xf numFmtId="0" fontId="25" fillId="0" borderId="0" xfId="99" applyFont="1" applyFill="1">
      <alignment/>
      <protection/>
    </xf>
    <xf numFmtId="0" fontId="29" fillId="0" borderId="0" xfId="99" applyFont="1" applyFill="1" applyBorder="1">
      <alignment/>
      <protection/>
    </xf>
    <xf numFmtId="49" fontId="29" fillId="0" borderId="0" xfId="99" applyNumberFormat="1" applyFont="1" applyFill="1" applyBorder="1">
      <alignment/>
      <protection/>
    </xf>
    <xf numFmtId="3" fontId="30" fillId="0" borderId="0" xfId="99" applyNumberFormat="1" applyFont="1" applyFill="1" applyBorder="1" applyAlignment="1">
      <alignment horizontal="center"/>
      <protection/>
    </xf>
    <xf numFmtId="3" fontId="30" fillId="0" borderId="0" xfId="99" applyNumberFormat="1" applyFont="1" applyFill="1" applyBorder="1">
      <alignment/>
      <protection/>
    </xf>
    <xf numFmtId="3" fontId="29" fillId="0" borderId="0" xfId="99" applyNumberFormat="1" applyFont="1" applyFill="1" applyBorder="1">
      <alignment/>
      <protection/>
    </xf>
    <xf numFmtId="3" fontId="28" fillId="0" borderId="0" xfId="99" applyNumberFormat="1" applyFont="1" applyFill="1" applyBorder="1">
      <alignment/>
      <protection/>
    </xf>
    <xf numFmtId="0" fontId="28" fillId="0" borderId="0" xfId="99" applyFont="1" applyFill="1" applyBorder="1">
      <alignment/>
      <protection/>
    </xf>
    <xf numFmtId="3" fontId="29" fillId="0" borderId="0" xfId="99" applyNumberFormat="1" applyFont="1" applyFill="1">
      <alignment/>
      <protection/>
    </xf>
    <xf numFmtId="49" fontId="30" fillId="0" borderId="17" xfId="99" applyNumberFormat="1" applyFont="1" applyFill="1" applyBorder="1" applyAlignment="1">
      <alignment/>
      <protection/>
    </xf>
    <xf numFmtId="49" fontId="30" fillId="0" borderId="21" xfId="99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3" fontId="46" fillId="0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/>
    </xf>
    <xf numFmtId="0" fontId="38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4" fontId="38" fillId="0" borderId="0" xfId="0" applyNumberFormat="1" applyFont="1" applyAlignment="1">
      <alignment/>
    </xf>
    <xf numFmtId="0" fontId="38" fillId="0" borderId="0" xfId="0" applyFont="1" applyFill="1" applyAlignment="1">
      <alignment horizontal="right"/>
    </xf>
    <xf numFmtId="3" fontId="38" fillId="0" borderId="0" xfId="0" applyNumberFormat="1" applyFont="1" applyFill="1" applyAlignment="1">
      <alignment horizontal="right"/>
    </xf>
    <xf numFmtId="0" fontId="38" fillId="0" borderId="0" xfId="0" applyFont="1" applyAlignment="1">
      <alignment horizontal="right"/>
    </xf>
    <xf numFmtId="4" fontId="38" fillId="0" borderId="14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3" fontId="38" fillId="0" borderId="14" xfId="0" applyNumberFormat="1" applyFont="1" applyFill="1" applyBorder="1" applyAlignment="1">
      <alignment/>
    </xf>
    <xf numFmtId="4" fontId="23" fillId="0" borderId="14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0" fontId="38" fillId="0" borderId="14" xfId="0" applyFont="1" applyFill="1" applyBorder="1" applyAlignment="1">
      <alignment/>
    </xf>
    <xf numFmtId="165" fontId="23" fillId="0" borderId="14" xfId="0" applyNumberFormat="1" applyFont="1" applyFill="1" applyBorder="1" applyAlignment="1">
      <alignment/>
    </xf>
    <xf numFmtId="4" fontId="38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 wrapText="1"/>
    </xf>
    <xf numFmtId="3" fontId="47" fillId="0" borderId="0" xfId="0" applyNumberFormat="1" applyFont="1" applyFill="1" applyAlignment="1">
      <alignment wrapText="1"/>
    </xf>
    <xf numFmtId="4" fontId="47" fillId="0" borderId="0" xfId="0" applyNumberFormat="1" applyFont="1" applyAlignment="1">
      <alignment/>
    </xf>
    <xf numFmtId="0" fontId="22" fillId="0" borderId="15" xfId="0" applyFont="1" applyBorder="1" applyAlignment="1">
      <alignment horizontal="left"/>
    </xf>
    <xf numFmtId="0" fontId="0" fillId="0" borderId="79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3" fontId="24" fillId="0" borderId="60" xfId="0" applyNumberFormat="1" applyFont="1" applyBorder="1" applyAlignment="1">
      <alignment/>
    </xf>
    <xf numFmtId="3" fontId="24" fillId="0" borderId="81" xfId="0" applyNumberFormat="1" applyFont="1" applyBorder="1" applyAlignment="1">
      <alignment/>
    </xf>
    <xf numFmtId="0" fontId="38" fillId="0" borderId="13" xfId="0" applyFont="1" applyBorder="1" applyAlignment="1">
      <alignment/>
    </xf>
    <xf numFmtId="3" fontId="22" fillId="0" borderId="60" xfId="0" applyNumberFormat="1" applyFont="1" applyBorder="1" applyAlignment="1">
      <alignment/>
    </xf>
    <xf numFmtId="0" fontId="22" fillId="0" borderId="13" xfId="0" applyFont="1" applyBorder="1" applyAlignment="1">
      <alignment wrapText="1"/>
    </xf>
    <xf numFmtId="3" fontId="24" fillId="0" borderId="60" xfId="0" applyNumberFormat="1" applyFont="1" applyBorder="1" applyAlignment="1">
      <alignment horizontal="right"/>
    </xf>
    <xf numFmtId="0" fontId="22" fillId="0" borderId="41" xfId="0" applyFont="1" applyBorder="1" applyAlignment="1">
      <alignment/>
    </xf>
    <xf numFmtId="3" fontId="22" fillId="0" borderId="82" xfId="0" applyNumberFormat="1" applyFont="1" applyBorder="1" applyAlignment="1">
      <alignment/>
    </xf>
    <xf numFmtId="3" fontId="24" fillId="0" borderId="82" xfId="0" applyNumberFormat="1" applyFont="1" applyBorder="1" applyAlignment="1">
      <alignment/>
    </xf>
    <xf numFmtId="0" fontId="22" fillId="0" borderId="21" xfId="0" applyFont="1" applyBorder="1" applyAlignment="1">
      <alignment/>
    </xf>
    <xf numFmtId="3" fontId="22" fillId="0" borderId="61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4" fillId="0" borderId="41" xfId="0" applyFont="1" applyBorder="1" applyAlignment="1">
      <alignment/>
    </xf>
    <xf numFmtId="3" fontId="24" fillId="0" borderId="82" xfId="0" applyNumberFormat="1" applyFont="1" applyBorder="1" applyAlignment="1">
      <alignment/>
    </xf>
    <xf numFmtId="3" fontId="22" fillId="0" borderId="60" xfId="0" applyNumberFormat="1" applyFont="1" applyBorder="1" applyAlignment="1">
      <alignment/>
    </xf>
    <xf numFmtId="3" fontId="22" fillId="0" borderId="82" xfId="0" applyNumberFormat="1" applyFont="1" applyBorder="1" applyAlignment="1">
      <alignment/>
    </xf>
    <xf numFmtId="0" fontId="24" fillId="0" borderId="0" xfId="0" applyFont="1" applyAlignment="1">
      <alignment/>
    </xf>
    <xf numFmtId="3" fontId="23" fillId="0" borderId="14" xfId="0" applyNumberFormat="1" applyFont="1" applyBorder="1" applyAlignment="1">
      <alignment/>
    </xf>
    <xf numFmtId="0" fontId="38" fillId="0" borderId="0" xfId="101" applyFont="1">
      <alignment/>
      <protection/>
    </xf>
    <xf numFmtId="0" fontId="23" fillId="0" borderId="72" xfId="101" applyFont="1" applyBorder="1" applyAlignment="1">
      <alignment horizontal="center" vertical="center"/>
      <protection/>
    </xf>
    <xf numFmtId="0" fontId="38" fillId="0" borderId="48" xfId="101" applyFont="1" applyBorder="1">
      <alignment/>
      <protection/>
    </xf>
    <xf numFmtId="0" fontId="38" fillId="0" borderId="49" xfId="101" applyFont="1" applyBorder="1" applyAlignment="1">
      <alignment horizontal="center"/>
      <protection/>
    </xf>
    <xf numFmtId="3" fontId="38" fillId="0" borderId="49" xfId="101" applyNumberFormat="1" applyFont="1" applyBorder="1" applyAlignment="1">
      <alignment horizontal="right"/>
      <protection/>
    </xf>
    <xf numFmtId="3" fontId="38" fillId="0" borderId="50" xfId="101" applyNumberFormat="1" applyFont="1" applyBorder="1" applyAlignment="1">
      <alignment horizontal="right"/>
      <protection/>
    </xf>
    <xf numFmtId="0" fontId="38" fillId="0" borderId="51" xfId="101" applyFont="1" applyBorder="1">
      <alignment/>
      <protection/>
    </xf>
    <xf numFmtId="0" fontId="38" fillId="0" borderId="38" xfId="101" applyFont="1" applyBorder="1" applyAlignment="1">
      <alignment horizontal="center"/>
      <protection/>
    </xf>
    <xf numFmtId="3" fontId="38" fillId="0" borderId="38" xfId="101" applyNumberFormat="1" applyFont="1" applyBorder="1" applyAlignment="1">
      <alignment horizontal="right"/>
      <protection/>
    </xf>
    <xf numFmtId="3" fontId="38" fillId="0" borderId="52" xfId="101" applyNumberFormat="1" applyFont="1" applyBorder="1" applyAlignment="1">
      <alignment horizontal="right"/>
      <protection/>
    </xf>
    <xf numFmtId="3" fontId="38" fillId="0" borderId="38" xfId="101" applyNumberFormat="1" applyFont="1" applyBorder="1">
      <alignment/>
      <protection/>
    </xf>
    <xf numFmtId="3" fontId="38" fillId="0" borderId="52" xfId="101" applyNumberFormat="1" applyFont="1" applyBorder="1">
      <alignment/>
      <protection/>
    </xf>
    <xf numFmtId="3" fontId="23" fillId="0" borderId="52" xfId="101" applyNumberFormat="1" applyFont="1" applyBorder="1">
      <alignment/>
      <protection/>
    </xf>
    <xf numFmtId="0" fontId="38" fillId="0" borderId="80" xfId="101" applyFont="1" applyBorder="1" applyAlignment="1">
      <alignment horizontal="center"/>
      <protection/>
    </xf>
    <xf numFmtId="3" fontId="38" fillId="0" borderId="80" xfId="101" applyNumberFormat="1" applyFont="1" applyBorder="1">
      <alignment/>
      <protection/>
    </xf>
    <xf numFmtId="3" fontId="38" fillId="0" borderId="109" xfId="101" applyNumberFormat="1" applyFont="1" applyBorder="1">
      <alignment/>
      <protection/>
    </xf>
    <xf numFmtId="3" fontId="23" fillId="0" borderId="78" xfId="101" applyNumberFormat="1" applyFont="1" applyBorder="1">
      <alignment/>
      <protection/>
    </xf>
    <xf numFmtId="0" fontId="38" fillId="0" borderId="0" xfId="101" applyFont="1" applyBorder="1">
      <alignment/>
      <protection/>
    </xf>
    <xf numFmtId="0" fontId="23" fillId="0" borderId="0" xfId="101" applyFont="1" applyBorder="1">
      <alignment/>
      <protection/>
    </xf>
    <xf numFmtId="0" fontId="38" fillId="0" borderId="95" xfId="0" applyFont="1" applyBorder="1" applyAlignment="1">
      <alignment vertical="top" wrapText="1"/>
    </xf>
    <xf numFmtId="10" fontId="38" fillId="0" borderId="14" xfId="121" applyNumberFormat="1" applyFont="1" applyFill="1" applyBorder="1" applyAlignment="1">
      <alignment/>
    </xf>
    <xf numFmtId="4" fontId="38" fillId="0" borderId="60" xfId="0" applyNumberFormat="1" applyFont="1" applyBorder="1" applyAlignment="1">
      <alignment/>
    </xf>
    <xf numFmtId="0" fontId="23" fillId="0" borderId="13" xfId="0" applyFont="1" applyBorder="1" applyAlignment="1">
      <alignment/>
    </xf>
    <xf numFmtId="10" fontId="23" fillId="0" borderId="14" xfId="121" applyNumberFormat="1" applyFont="1" applyFill="1" applyBorder="1" applyAlignment="1">
      <alignment/>
    </xf>
    <xf numFmtId="4" fontId="23" fillId="0" borderId="14" xfId="0" applyNumberFormat="1" applyFont="1" applyBorder="1" applyAlignment="1">
      <alignment/>
    </xf>
    <xf numFmtId="4" fontId="23" fillId="0" borderId="60" xfId="0" applyNumberFormat="1" applyFont="1" applyBorder="1" applyAlignment="1">
      <alignment/>
    </xf>
    <xf numFmtId="165" fontId="38" fillId="0" borderId="14" xfId="0" applyNumberFormat="1" applyFont="1" applyFill="1" applyBorder="1" applyAlignment="1">
      <alignment/>
    </xf>
    <xf numFmtId="165" fontId="38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Fill="1" applyBorder="1" applyAlignment="1">
      <alignment/>
    </xf>
    <xf numFmtId="165" fontId="23" fillId="0" borderId="14" xfId="0" applyNumberFormat="1" applyFont="1" applyBorder="1" applyAlignment="1">
      <alignment/>
    </xf>
    <xf numFmtId="0" fontId="44" fillId="0" borderId="21" xfId="0" applyFont="1" applyBorder="1" applyAlignment="1">
      <alignment/>
    </xf>
    <xf numFmtId="4" fontId="44" fillId="0" borderId="22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10" fontId="44" fillId="0" borderId="22" xfId="121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/>
    </xf>
    <xf numFmtId="165" fontId="44" fillId="0" borderId="22" xfId="0" applyNumberFormat="1" applyFont="1" applyFill="1" applyBorder="1" applyAlignment="1">
      <alignment/>
    </xf>
    <xf numFmtId="4" fontId="44" fillId="0" borderId="61" xfId="0" applyNumberFormat="1" applyFont="1" applyBorder="1" applyAlignment="1">
      <alignment/>
    </xf>
    <xf numFmtId="0" fontId="30" fillId="0" borderId="110" xfId="99" applyFont="1" applyFill="1" applyBorder="1" applyAlignment="1">
      <alignment horizontal="center" vertical="center" wrapText="1"/>
      <protection/>
    </xf>
    <xf numFmtId="3" fontId="29" fillId="0" borderId="81" xfId="99" applyNumberFormat="1" applyFont="1" applyFill="1" applyBorder="1">
      <alignment/>
      <protection/>
    </xf>
    <xf numFmtId="0" fontId="57" fillId="0" borderId="26" xfId="99" applyFont="1" applyFill="1" applyBorder="1">
      <alignment/>
      <protection/>
    </xf>
    <xf numFmtId="3" fontId="30" fillId="0" borderId="60" xfId="99" applyNumberFormat="1" applyFont="1" applyFill="1" applyBorder="1">
      <alignment/>
      <protection/>
    </xf>
    <xf numFmtId="0" fontId="29" fillId="0" borderId="29" xfId="99" applyFont="1" applyFill="1" applyBorder="1">
      <alignment/>
      <protection/>
    </xf>
    <xf numFmtId="3" fontId="29" fillId="0" borderId="60" xfId="99" applyNumberFormat="1" applyFont="1" applyFill="1" applyBorder="1">
      <alignment/>
      <protection/>
    </xf>
    <xf numFmtId="0" fontId="58" fillId="0" borderId="29" xfId="99" applyFont="1" applyFill="1" applyBorder="1">
      <alignment/>
      <protection/>
    </xf>
    <xf numFmtId="3" fontId="36" fillId="0" borderId="60" xfId="99" applyNumberFormat="1" applyFont="1" applyFill="1" applyBorder="1">
      <alignment/>
      <protection/>
    </xf>
    <xf numFmtId="3" fontId="29" fillId="0" borderId="60" xfId="99" applyNumberFormat="1" applyFont="1" applyFill="1" applyBorder="1">
      <alignment/>
      <protection/>
    </xf>
    <xf numFmtId="0" fontId="57" fillId="0" borderId="29" xfId="99" applyFont="1" applyFill="1" applyBorder="1">
      <alignment/>
      <protection/>
    </xf>
    <xf numFmtId="3" fontId="57" fillId="0" borderId="60" xfId="99" applyNumberFormat="1" applyFont="1" applyFill="1" applyBorder="1">
      <alignment/>
      <protection/>
    </xf>
    <xf numFmtId="3" fontId="58" fillId="0" borderId="60" xfId="99" applyNumberFormat="1" applyFont="1" applyFill="1" applyBorder="1">
      <alignment/>
      <protection/>
    </xf>
    <xf numFmtId="0" fontId="30" fillId="0" borderId="29" xfId="99" applyFont="1" applyFill="1" applyBorder="1">
      <alignment/>
      <protection/>
    </xf>
    <xf numFmtId="0" fontId="29" fillId="0" borderId="29" xfId="99" applyFont="1" applyFill="1" applyBorder="1">
      <alignment/>
      <protection/>
    </xf>
    <xf numFmtId="49" fontId="30" fillId="0" borderId="29" xfId="99" applyNumberFormat="1" applyFont="1" applyFill="1" applyBorder="1" applyAlignment="1">
      <alignment vertical="center" wrapText="1"/>
      <protection/>
    </xf>
    <xf numFmtId="49" fontId="30" fillId="0" borderId="23" xfId="99" applyNumberFormat="1" applyFont="1" applyFill="1" applyBorder="1" applyAlignment="1">
      <alignment vertical="center" wrapText="1"/>
      <protection/>
    </xf>
    <xf numFmtId="3" fontId="30" fillId="0" borderId="61" xfId="99" applyNumberFormat="1" applyFont="1" applyFill="1" applyBorder="1">
      <alignment/>
      <protection/>
    </xf>
    <xf numFmtId="0" fontId="57" fillId="0" borderId="36" xfId="99" applyFont="1" applyFill="1" applyBorder="1">
      <alignment/>
      <protection/>
    </xf>
    <xf numFmtId="49" fontId="59" fillId="0" borderId="111" xfId="99" applyNumberFormat="1" applyFont="1" applyFill="1" applyBorder="1">
      <alignment/>
      <protection/>
    </xf>
    <xf numFmtId="0" fontId="59" fillId="0" borderId="70" xfId="99" applyFont="1" applyFill="1" applyBorder="1">
      <alignment/>
      <protection/>
    </xf>
    <xf numFmtId="3" fontId="57" fillId="0" borderId="70" xfId="99" applyNumberFormat="1" applyFont="1" applyFill="1" applyBorder="1" applyAlignment="1">
      <alignment horizontal="center"/>
      <protection/>
    </xf>
    <xf numFmtId="3" fontId="57" fillId="0" borderId="70" xfId="99" applyNumberFormat="1" applyFont="1" applyFill="1" applyBorder="1">
      <alignment/>
      <protection/>
    </xf>
    <xf numFmtId="3" fontId="30" fillId="0" borderId="112" xfId="99" applyNumberFormat="1" applyFont="1" applyFill="1" applyBorder="1">
      <alignment/>
      <protection/>
    </xf>
    <xf numFmtId="3" fontId="30" fillId="0" borderId="70" xfId="99" applyNumberFormat="1" applyFont="1" applyFill="1" applyBorder="1">
      <alignment/>
      <protection/>
    </xf>
    <xf numFmtId="3" fontId="30" fillId="0" borderId="113" xfId="99" applyNumberFormat="1" applyFont="1" applyFill="1" applyBorder="1">
      <alignment/>
      <protection/>
    </xf>
    <xf numFmtId="3" fontId="30" fillId="0" borderId="114" xfId="99" applyNumberFormat="1" applyFont="1" applyFill="1" applyBorder="1">
      <alignment/>
      <protection/>
    </xf>
    <xf numFmtId="3" fontId="30" fillId="52" borderId="112" xfId="99" applyNumberFormat="1" applyFont="1" applyFill="1" applyBorder="1">
      <alignment/>
      <protection/>
    </xf>
    <xf numFmtId="3" fontId="30" fillId="0" borderId="115" xfId="99" applyNumberFormat="1" applyFont="1" applyFill="1" applyBorder="1">
      <alignment/>
      <protection/>
    </xf>
    <xf numFmtId="3" fontId="38" fillId="0" borderId="0" xfId="101" applyNumberFormat="1" applyFont="1" applyBorder="1">
      <alignment/>
      <protection/>
    </xf>
    <xf numFmtId="3" fontId="38" fillId="0" borderId="0" xfId="101" applyNumberFormat="1" applyFont="1" applyBorder="1" applyAlignment="1">
      <alignment horizontal="right"/>
      <protection/>
    </xf>
    <xf numFmtId="0" fontId="38" fillId="0" borderId="72" xfId="101" applyFont="1" applyBorder="1" applyAlignment="1">
      <alignment horizontal="center" vertical="center"/>
      <protection/>
    </xf>
    <xf numFmtId="3" fontId="38" fillId="0" borderId="78" xfId="101" applyNumberFormat="1" applyFont="1" applyBorder="1" applyAlignment="1">
      <alignment horizontal="right"/>
      <protection/>
    </xf>
    <xf numFmtId="0" fontId="23" fillId="0" borderId="38" xfId="101" applyFont="1" applyBorder="1" applyAlignment="1">
      <alignment horizontal="center" vertical="center"/>
      <protection/>
    </xf>
    <xf numFmtId="0" fontId="23" fillId="0" borderId="38" xfId="101" applyFont="1" applyBorder="1" applyAlignment="1">
      <alignment horizontal="center"/>
      <protection/>
    </xf>
    <xf numFmtId="0" fontId="38" fillId="0" borderId="72" xfId="101" applyFont="1" applyBorder="1" applyAlignment="1">
      <alignment horizontal="center"/>
      <protection/>
    </xf>
    <xf numFmtId="3" fontId="38" fillId="0" borderId="72" xfId="101" applyNumberFormat="1" applyFont="1" applyBorder="1">
      <alignment/>
      <protection/>
    </xf>
    <xf numFmtId="0" fontId="47" fillId="0" borderId="0" xfId="112" applyFont="1">
      <alignment/>
      <protection/>
    </xf>
    <xf numFmtId="16" fontId="65" fillId="0" borderId="0" xfId="101" applyNumberFormat="1" applyFont="1" applyAlignment="1">
      <alignment horizontal="left" vertical="center"/>
      <protection/>
    </xf>
    <xf numFmtId="0" fontId="65" fillId="0" borderId="0" xfId="101" applyFont="1" applyAlignment="1">
      <alignment horizontal="left" vertical="center"/>
      <protection/>
    </xf>
    <xf numFmtId="0" fontId="46" fillId="0" borderId="38" xfId="112" applyFont="1" applyBorder="1" applyAlignment="1">
      <alignment horizontal="center" vertical="center"/>
      <protection/>
    </xf>
    <xf numFmtId="0" fontId="46" fillId="0" borderId="38" xfId="112" applyFont="1" applyBorder="1" applyAlignment="1">
      <alignment horizontal="center" vertical="center" wrapText="1"/>
      <protection/>
    </xf>
    <xf numFmtId="0" fontId="47" fillId="0" borderId="51" xfId="112" applyFont="1" applyBorder="1">
      <alignment/>
      <protection/>
    </xf>
    <xf numFmtId="3" fontId="47" fillId="0" borderId="38" xfId="112" applyNumberFormat="1" applyFont="1" applyBorder="1">
      <alignment/>
      <protection/>
    </xf>
    <xf numFmtId="3" fontId="46" fillId="0" borderId="38" xfId="112" applyNumberFormat="1" applyFont="1" applyBorder="1">
      <alignment/>
      <protection/>
    </xf>
    <xf numFmtId="3" fontId="46" fillId="0" borderId="52" xfId="112" applyNumberFormat="1" applyFont="1" applyBorder="1">
      <alignment/>
      <protection/>
    </xf>
    <xf numFmtId="0" fontId="46" fillId="0" borderId="51" xfId="112" applyFont="1" applyBorder="1" applyAlignment="1">
      <alignment wrapText="1"/>
      <protection/>
    </xf>
    <xf numFmtId="0" fontId="46" fillId="0" borderId="53" xfId="112" applyFont="1" applyBorder="1" applyAlignment="1">
      <alignment wrapText="1"/>
      <protection/>
    </xf>
    <xf numFmtId="3" fontId="46" fillId="0" borderId="72" xfId="112" applyNumberFormat="1" applyFont="1" applyBorder="1">
      <alignment/>
      <protection/>
    </xf>
    <xf numFmtId="0" fontId="67" fillId="0" borderId="0" xfId="0" applyFont="1" applyAlignment="1">
      <alignment/>
    </xf>
    <xf numFmtId="0" fontId="68" fillId="0" borderId="14" xfId="0" applyFont="1" applyFill="1" applyBorder="1" applyAlignment="1">
      <alignment horizontal="center" vertical="top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3" fontId="47" fillId="0" borderId="14" xfId="0" applyNumberFormat="1" applyFont="1" applyBorder="1" applyAlignment="1">
      <alignment horizontal="right"/>
    </xf>
    <xf numFmtId="1" fontId="47" fillId="0" borderId="14" xfId="0" applyNumberFormat="1" applyFont="1" applyBorder="1" applyAlignment="1">
      <alignment horizontal="center"/>
    </xf>
    <xf numFmtId="3" fontId="47" fillId="0" borderId="14" xfId="0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3" fontId="46" fillId="0" borderId="60" xfId="0" applyNumberFormat="1" applyFont="1" applyFill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3" fontId="46" fillId="0" borderId="14" xfId="0" applyNumberFormat="1" applyFont="1" applyBorder="1" applyAlignment="1">
      <alignment horizontal="right"/>
    </xf>
    <xf numFmtId="1" fontId="46" fillId="0" borderId="14" xfId="0" applyNumberFormat="1" applyFont="1" applyBorder="1" applyAlignment="1">
      <alignment horizontal="center"/>
    </xf>
    <xf numFmtId="3" fontId="46" fillId="0" borderId="14" xfId="0" applyNumberFormat="1" applyFont="1" applyBorder="1" applyAlignment="1">
      <alignment/>
    </xf>
    <xf numFmtId="3" fontId="46" fillId="0" borderId="14" xfId="0" applyNumberFormat="1" applyFont="1" applyBorder="1" applyAlignment="1">
      <alignment/>
    </xf>
    <xf numFmtId="3" fontId="46" fillId="0" borderId="14" xfId="0" applyNumberFormat="1" applyFont="1" applyBorder="1" applyAlignment="1">
      <alignment horizontal="right"/>
    </xf>
    <xf numFmtId="0" fontId="20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47" fillId="0" borderId="22" xfId="0" applyFont="1" applyBorder="1" applyAlignment="1">
      <alignment horizontal="center"/>
    </xf>
    <xf numFmtId="3" fontId="46" fillId="0" borderId="22" xfId="0" applyNumberFormat="1" applyFont="1" applyBorder="1" applyAlignment="1">
      <alignment horizontal="right"/>
    </xf>
    <xf numFmtId="1" fontId="47" fillId="0" borderId="22" xfId="0" applyNumberFormat="1" applyFont="1" applyBorder="1" applyAlignment="1">
      <alignment horizontal="center"/>
    </xf>
    <xf numFmtId="3" fontId="46" fillId="0" borderId="22" xfId="0" applyNumberFormat="1" applyFont="1" applyBorder="1" applyAlignment="1">
      <alignment/>
    </xf>
    <xf numFmtId="3" fontId="46" fillId="0" borderId="22" xfId="0" applyNumberFormat="1" applyFont="1" applyBorder="1" applyAlignment="1">
      <alignment/>
    </xf>
    <xf numFmtId="3" fontId="46" fillId="0" borderId="61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46" fillId="0" borderId="15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0" fontId="46" fillId="0" borderId="79" xfId="0" applyFont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/>
    </xf>
    <xf numFmtId="3" fontId="46" fillId="0" borderId="14" xfId="0" applyNumberFormat="1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3" fontId="47" fillId="0" borderId="60" xfId="0" applyNumberFormat="1" applyFont="1" applyBorder="1" applyAlignment="1">
      <alignment vertical="center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3" fontId="46" fillId="0" borderId="22" xfId="0" applyNumberFormat="1" applyFont="1" applyBorder="1" applyAlignment="1">
      <alignment vertical="center"/>
    </xf>
    <xf numFmtId="3" fontId="46" fillId="0" borderId="61" xfId="0" applyNumberFormat="1" applyFont="1" applyBorder="1" applyAlignment="1">
      <alignment vertical="center"/>
    </xf>
    <xf numFmtId="0" fontId="36" fillId="0" borderId="0" xfId="105" applyFont="1" applyFill="1" applyBorder="1" applyAlignment="1">
      <alignment horizontal="center" vertical="center"/>
      <protection/>
    </xf>
    <xf numFmtId="0" fontId="23" fillId="0" borderId="0" xfId="105" applyFont="1" applyFill="1">
      <alignment/>
      <protection/>
    </xf>
    <xf numFmtId="3" fontId="23" fillId="0" borderId="0" xfId="105" applyNumberFormat="1" applyFont="1" applyFill="1">
      <alignment/>
      <protection/>
    </xf>
    <xf numFmtId="0" fontId="38" fillId="0" borderId="14" xfId="105" applyFont="1" applyFill="1" applyBorder="1">
      <alignment/>
      <protection/>
    </xf>
    <xf numFmtId="0" fontId="23" fillId="0" borderId="40" xfId="105" applyFont="1" applyFill="1" applyBorder="1" applyAlignment="1">
      <alignment horizontal="left" vertical="center" wrapText="1"/>
      <protection/>
    </xf>
    <xf numFmtId="3" fontId="23" fillId="0" borderId="14" xfId="105" applyNumberFormat="1" applyFont="1" applyFill="1" applyBorder="1">
      <alignment/>
      <protection/>
    </xf>
    <xf numFmtId="3" fontId="23" fillId="0" borderId="60" xfId="105" applyNumberFormat="1" applyFont="1" applyFill="1" applyBorder="1">
      <alignment/>
      <protection/>
    </xf>
    <xf numFmtId="0" fontId="23" fillId="0" borderId="21" xfId="105" applyFont="1" applyFill="1" applyBorder="1" applyAlignment="1">
      <alignment horizontal="center" vertical="center" wrapText="1"/>
      <protection/>
    </xf>
    <xf numFmtId="3" fontId="23" fillId="0" borderId="22" xfId="105" applyNumberFormat="1" applyFont="1" applyFill="1" applyBorder="1">
      <alignment/>
      <protection/>
    </xf>
    <xf numFmtId="3" fontId="23" fillId="0" borderId="61" xfId="105" applyNumberFormat="1" applyFont="1" applyFill="1" applyBorder="1">
      <alignment/>
      <protection/>
    </xf>
    <xf numFmtId="3" fontId="23" fillId="0" borderId="0" xfId="105" applyNumberFormat="1" applyFont="1" applyFill="1" applyBorder="1">
      <alignment/>
      <protection/>
    </xf>
    <xf numFmtId="0" fontId="23" fillId="0" borderId="0" xfId="105" applyFont="1" applyFill="1" applyBorder="1" applyAlignment="1">
      <alignment horizontal="center" vertical="center" wrapText="1"/>
      <protection/>
    </xf>
    <xf numFmtId="0" fontId="23" fillId="0" borderId="0" xfId="105" applyFont="1" applyFill="1" applyBorder="1" applyAlignment="1">
      <alignment wrapText="1"/>
      <protection/>
    </xf>
    <xf numFmtId="0" fontId="51" fillId="0" borderId="14" xfId="105" applyFont="1" applyFill="1" applyBorder="1" applyAlignment="1">
      <alignment horizontal="left" vertical="center" wrapText="1"/>
      <protection/>
    </xf>
    <xf numFmtId="0" fontId="51" fillId="0" borderId="14" xfId="105" applyFont="1" applyFill="1" applyBorder="1" applyAlignment="1">
      <alignment vertical="center" wrapText="1"/>
      <protection/>
    </xf>
    <xf numFmtId="3" fontId="51" fillId="0" borderId="14" xfId="105" applyNumberFormat="1" applyFont="1" applyFill="1" applyBorder="1" applyAlignment="1">
      <alignment vertical="center"/>
      <protection/>
    </xf>
    <xf numFmtId="3" fontId="63" fillId="0" borderId="14" xfId="105" applyNumberFormat="1" applyFont="1" applyFill="1" applyBorder="1" applyAlignment="1">
      <alignment vertical="center"/>
      <protection/>
    </xf>
    <xf numFmtId="3" fontId="51" fillId="0" borderId="60" xfId="105" applyNumberFormat="1" applyFont="1" applyFill="1" applyBorder="1" applyAlignment="1">
      <alignment vertical="center"/>
      <protection/>
    </xf>
    <xf numFmtId="0" fontId="51" fillId="0" borderId="14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right" vertical="center" wrapText="1"/>
    </xf>
    <xf numFmtId="3" fontId="38" fillId="0" borderId="60" xfId="0" applyNumberFormat="1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3" fontId="23" fillId="0" borderId="60" xfId="0" applyNumberFormat="1" applyFont="1" applyBorder="1" applyAlignment="1">
      <alignment horizontal="right" vertical="center" wrapText="1"/>
    </xf>
    <xf numFmtId="3" fontId="0" fillId="0" borderId="60" xfId="0" applyNumberFormat="1" applyBorder="1" applyAlignment="1">
      <alignment/>
    </xf>
    <xf numFmtId="3" fontId="23" fillId="0" borderId="22" xfId="0" applyNumberFormat="1" applyFont="1" applyBorder="1" applyAlignment="1">
      <alignment horizontal="right" vertical="center" wrapText="1"/>
    </xf>
    <xf numFmtId="3" fontId="38" fillId="0" borderId="60" xfId="0" applyNumberFormat="1" applyFont="1" applyBorder="1" applyAlignment="1">
      <alignment/>
    </xf>
    <xf numFmtId="3" fontId="38" fillId="0" borderId="60" xfId="0" applyNumberFormat="1" applyFont="1" applyFill="1" applyBorder="1" applyAlignment="1">
      <alignment horizontal="right" vertical="center" wrapText="1"/>
    </xf>
    <xf numFmtId="3" fontId="23" fillId="0" borderId="61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/>
    </xf>
    <xf numFmtId="0" fontId="22" fillId="0" borderId="57" xfId="0" applyFont="1" applyBorder="1" applyAlignment="1">
      <alignment horizontal="left"/>
    </xf>
    <xf numFmtId="49" fontId="22" fillId="0" borderId="28" xfId="0" applyNumberFormat="1" applyFont="1" applyBorder="1" applyAlignment="1">
      <alignment horizontal="left" wrapText="1"/>
    </xf>
    <xf numFmtId="0" fontId="27" fillId="0" borderId="76" xfId="0" applyFont="1" applyBorder="1" applyAlignment="1">
      <alignment horizontal="left" wrapText="1"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24" fillId="0" borderId="5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22" fillId="0" borderId="91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22" fillId="0" borderId="91" xfId="0" applyFont="1" applyBorder="1" applyAlignment="1">
      <alignment horizontal="center"/>
    </xf>
    <xf numFmtId="0" fontId="0" fillId="0" borderId="74" xfId="0" applyBorder="1" applyAlignment="1">
      <alignment/>
    </xf>
    <xf numFmtId="49" fontId="24" fillId="0" borderId="28" xfId="0" applyNumberFormat="1" applyFont="1" applyBorder="1" applyAlignment="1">
      <alignment horizontal="left" wrapText="1"/>
    </xf>
    <xf numFmtId="0" fontId="0" fillId="0" borderId="76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49" fontId="26" fillId="0" borderId="13" xfId="0" applyNumberFormat="1" applyFont="1" applyBorder="1" applyAlignment="1">
      <alignment horizontal="left" wrapText="1"/>
    </xf>
    <xf numFmtId="49" fontId="26" fillId="0" borderId="14" xfId="0" applyNumberFormat="1" applyFont="1" applyBorder="1" applyAlignment="1">
      <alignment horizontal="left" wrapText="1"/>
    </xf>
    <xf numFmtId="0" fontId="22" fillId="0" borderId="28" xfId="0" applyFont="1" applyBorder="1" applyAlignment="1">
      <alignment horizontal="left"/>
    </xf>
    <xf numFmtId="0" fontId="22" fillId="0" borderId="76" xfId="0" applyFont="1" applyBorder="1" applyAlignment="1">
      <alignment horizontal="left"/>
    </xf>
    <xf numFmtId="0" fontId="22" fillId="0" borderId="28" xfId="0" applyFont="1" applyBorder="1" applyAlignment="1">
      <alignment horizontal="left" wrapText="1"/>
    </xf>
    <xf numFmtId="0" fontId="0" fillId="0" borderId="76" xfId="0" applyBorder="1" applyAlignment="1">
      <alignment horizontal="left" wrapText="1"/>
    </xf>
    <xf numFmtId="0" fontId="22" fillId="0" borderId="28" xfId="0" applyFont="1" applyBorder="1" applyAlignment="1">
      <alignment/>
    </xf>
    <xf numFmtId="0" fontId="0" fillId="0" borderId="76" xfId="0" applyBorder="1" applyAlignment="1">
      <alignment/>
    </xf>
    <xf numFmtId="0" fontId="20" fillId="0" borderId="0" xfId="107" applyFont="1" applyAlignment="1">
      <alignment horizontal="center"/>
      <protection/>
    </xf>
    <xf numFmtId="0" fontId="20" fillId="0" borderId="25" xfId="107" applyFont="1" applyBorder="1" applyAlignment="1">
      <alignment horizontal="center"/>
      <protection/>
    </xf>
    <xf numFmtId="0" fontId="20" fillId="0" borderId="91" xfId="107" applyFont="1" applyBorder="1" applyAlignment="1">
      <alignment horizontal="center"/>
      <protection/>
    </xf>
    <xf numFmtId="0" fontId="20" fillId="0" borderId="74" xfId="107" applyFont="1" applyBorder="1" applyAlignment="1">
      <alignment horizontal="center"/>
      <protection/>
    </xf>
    <xf numFmtId="0" fontId="41" fillId="0" borderId="0" xfId="0" applyFont="1" applyAlignment="1">
      <alignment horizontal="center" shrinkToFit="1"/>
    </xf>
    <xf numFmtId="0" fontId="41" fillId="0" borderId="116" xfId="0" applyFont="1" applyBorder="1" applyAlignment="1">
      <alignment horizontal="center" vertical="center" wrapText="1"/>
    </xf>
    <xf numFmtId="0" fontId="41" fillId="0" borderId="91" xfId="0" applyFont="1" applyBorder="1" applyAlignment="1">
      <alignment horizontal="center" vertical="center" wrapText="1"/>
    </xf>
    <xf numFmtId="0" fontId="38" fillId="0" borderId="117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38" fillId="0" borderId="118" xfId="0" applyFont="1" applyBorder="1" applyAlignment="1">
      <alignment/>
    </xf>
    <xf numFmtId="0" fontId="41" fillId="0" borderId="117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6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4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0" fillId="0" borderId="79" xfId="0" applyBorder="1" applyAlignment="1">
      <alignment/>
    </xf>
    <xf numFmtId="0" fontId="40" fillId="0" borderId="88" xfId="102" applyFont="1" applyFill="1" applyBorder="1" applyAlignment="1">
      <alignment horizontal="center" vertical="center" wrapText="1"/>
      <protection/>
    </xf>
    <xf numFmtId="0" fontId="40" fillId="0" borderId="52" xfId="102" applyFont="1" applyFill="1" applyBorder="1" applyAlignment="1">
      <alignment horizontal="center" vertical="center" wrapText="1"/>
      <protection/>
    </xf>
    <xf numFmtId="0" fontId="40" fillId="0" borderId="78" xfId="102" applyFont="1" applyFill="1" applyBorder="1" applyAlignment="1">
      <alignment horizontal="center" vertical="center" wrapText="1"/>
      <protection/>
    </xf>
    <xf numFmtId="3" fontId="23" fillId="0" borderId="39" xfId="102" applyNumberFormat="1" applyFont="1" applyFill="1" applyBorder="1" applyAlignment="1">
      <alignment horizontal="center" vertical="center" wrapText="1"/>
      <protection/>
    </xf>
    <xf numFmtId="3" fontId="23" fillId="0" borderId="38" xfId="102" applyNumberFormat="1" applyFont="1" applyFill="1" applyBorder="1" applyAlignment="1">
      <alignment horizontal="center" vertical="center" wrapText="1"/>
      <protection/>
    </xf>
    <xf numFmtId="3" fontId="23" fillId="0" borderId="72" xfId="102" applyNumberFormat="1" applyFont="1" applyFill="1" applyBorder="1" applyAlignment="1">
      <alignment horizontal="center" vertical="center" wrapText="1"/>
      <protection/>
    </xf>
    <xf numFmtId="0" fontId="23" fillId="0" borderId="38" xfId="102" applyFont="1" applyFill="1" applyBorder="1" applyAlignment="1">
      <alignment horizontal="center" vertical="center"/>
      <protection/>
    </xf>
    <xf numFmtId="0" fontId="23" fillId="0" borderId="72" xfId="102" applyFont="1" applyFill="1" applyBorder="1" applyAlignment="1">
      <alignment horizontal="center" vertical="center"/>
      <protection/>
    </xf>
    <xf numFmtId="0" fontId="23" fillId="0" borderId="39" xfId="102" applyFont="1" applyFill="1" applyBorder="1" applyAlignment="1">
      <alignment horizontal="center" vertical="center" wrapText="1"/>
      <protection/>
    </xf>
    <xf numFmtId="0" fontId="23" fillId="0" borderId="38" xfId="102" applyFont="1" applyFill="1" applyBorder="1" applyAlignment="1">
      <alignment horizontal="center" vertical="center" wrapText="1"/>
      <protection/>
    </xf>
    <xf numFmtId="0" fontId="23" fillId="0" borderId="72" xfId="102" applyFont="1" applyFill="1" applyBorder="1" applyAlignment="1">
      <alignment horizontal="center" vertical="center" wrapText="1"/>
      <protection/>
    </xf>
    <xf numFmtId="0" fontId="23" fillId="0" borderId="39" xfId="102" applyFont="1" applyFill="1" applyBorder="1" applyAlignment="1">
      <alignment horizontal="center"/>
      <protection/>
    </xf>
    <xf numFmtId="0" fontId="50" fillId="0" borderId="89" xfId="102" applyFont="1" applyFill="1" applyBorder="1" applyAlignment="1">
      <alignment horizontal="center"/>
      <protection/>
    </xf>
    <xf numFmtId="0" fontId="50" fillId="0" borderId="51" xfId="102" applyFont="1" applyFill="1" applyBorder="1" applyAlignment="1">
      <alignment horizontal="center"/>
      <protection/>
    </xf>
    <xf numFmtId="0" fontId="50" fillId="0" borderId="53" xfId="102" applyFont="1" applyFill="1" applyBorder="1" applyAlignment="1">
      <alignment horizontal="center"/>
      <protection/>
    </xf>
    <xf numFmtId="0" fontId="23" fillId="0" borderId="38" xfId="102" applyFont="1" applyFill="1" applyBorder="1" applyAlignment="1">
      <alignment horizontal="left"/>
      <protection/>
    </xf>
    <xf numFmtId="0" fontId="23" fillId="0" borderId="38" xfId="102" applyFont="1" applyFill="1" applyBorder="1" applyAlignment="1">
      <alignment horizontal="left"/>
      <protection/>
    </xf>
    <xf numFmtId="0" fontId="23" fillId="0" borderId="0" xfId="102" applyFont="1" applyFill="1" applyAlignment="1">
      <alignment/>
      <protection/>
    </xf>
    <xf numFmtId="0" fontId="0" fillId="0" borderId="0" xfId="0" applyFont="1" applyFill="1" applyAlignment="1">
      <alignment/>
    </xf>
    <xf numFmtId="0" fontId="46" fillId="0" borderId="0" xfId="102" applyFont="1" applyFill="1" applyBorder="1" applyAlignment="1">
      <alignment horizontal="center"/>
      <protection/>
    </xf>
    <xf numFmtId="0" fontId="51" fillId="0" borderId="0" xfId="102" applyFont="1" applyFill="1" applyBorder="1" applyAlignment="1">
      <alignment horizontal="center"/>
      <protection/>
    </xf>
    <xf numFmtId="0" fontId="23" fillId="0" borderId="39" xfId="102" applyFont="1" applyFill="1" applyBorder="1" applyAlignment="1">
      <alignment horizontal="center" vertical="center"/>
      <protection/>
    </xf>
    <xf numFmtId="0" fontId="23" fillId="0" borderId="39" xfId="98" applyFont="1" applyFill="1" applyBorder="1" applyAlignment="1">
      <alignment horizontal="center" vertical="center"/>
      <protection/>
    </xf>
    <xf numFmtId="0" fontId="23" fillId="0" borderId="38" xfId="98" applyFont="1" applyFill="1" applyBorder="1" applyAlignment="1">
      <alignment horizontal="center" vertical="center"/>
      <protection/>
    </xf>
    <xf numFmtId="0" fontId="23" fillId="0" borderId="72" xfId="98" applyFont="1" applyFill="1" applyBorder="1" applyAlignment="1">
      <alignment horizontal="center" vertical="center"/>
      <protection/>
    </xf>
    <xf numFmtId="0" fontId="38" fillId="0" borderId="89" xfId="102" applyFont="1" applyFill="1" applyBorder="1" applyAlignment="1">
      <alignment horizontal="center"/>
      <protection/>
    </xf>
    <xf numFmtId="0" fontId="38" fillId="0" borderId="51" xfId="102" applyFont="1" applyFill="1" applyBorder="1" applyAlignment="1">
      <alignment horizontal="center"/>
      <protection/>
    </xf>
    <xf numFmtId="0" fontId="38" fillId="0" borderId="53" xfId="102" applyFont="1" applyFill="1" applyBorder="1" applyAlignment="1">
      <alignment horizontal="center"/>
      <protection/>
    </xf>
    <xf numFmtId="3" fontId="23" fillId="0" borderId="88" xfId="102" applyNumberFormat="1" applyFont="1" applyFill="1" applyBorder="1" applyAlignment="1">
      <alignment horizontal="center" vertical="center" wrapText="1"/>
      <protection/>
    </xf>
    <xf numFmtId="3" fontId="23" fillId="0" borderId="52" xfId="102" applyNumberFormat="1" applyFont="1" applyFill="1" applyBorder="1" applyAlignment="1">
      <alignment horizontal="center" vertical="center" wrapText="1"/>
      <protection/>
    </xf>
    <xf numFmtId="3" fontId="23" fillId="0" borderId="78" xfId="102" applyNumberFormat="1" applyFont="1" applyFill="1" applyBorder="1" applyAlignment="1">
      <alignment horizontal="center" vertical="center" wrapText="1"/>
      <protection/>
    </xf>
    <xf numFmtId="0" fontId="27" fillId="0" borderId="38" xfId="0" applyFont="1" applyFill="1" applyBorder="1" applyAlignment="1">
      <alignment horizontal="left"/>
    </xf>
    <xf numFmtId="1" fontId="23" fillId="0" borderId="38" xfId="98" applyNumberFormat="1" applyFont="1" applyFill="1" applyBorder="1" applyAlignment="1">
      <alignment horizontal="left" vertical="center"/>
      <protection/>
    </xf>
    <xf numFmtId="1" fontId="23" fillId="0" borderId="38" xfId="98" applyNumberFormat="1" applyFont="1" applyBorder="1" applyAlignment="1">
      <alignment horizontal="left" vertical="center"/>
      <protection/>
    </xf>
    <xf numFmtId="0" fontId="23" fillId="0" borderId="38" xfId="102" applyFont="1" applyBorder="1" applyAlignment="1">
      <alignment horizontal="center" vertical="center" wrapText="1"/>
      <protection/>
    </xf>
    <xf numFmtId="0" fontId="23" fillId="0" borderId="72" xfId="102" applyFont="1" applyBorder="1" applyAlignment="1">
      <alignment horizontal="center" vertical="center" wrapText="1"/>
      <protection/>
    </xf>
    <xf numFmtId="0" fontId="23" fillId="0" borderId="39" xfId="102" applyFont="1" applyBorder="1" applyAlignment="1">
      <alignment horizontal="center" vertical="center"/>
      <protection/>
    </xf>
    <xf numFmtId="0" fontId="23" fillId="0" borderId="38" xfId="102" applyFont="1" applyBorder="1" applyAlignment="1">
      <alignment horizontal="center" vertical="center"/>
      <protection/>
    </xf>
    <xf numFmtId="0" fontId="23" fillId="0" borderId="72" xfId="102" applyFont="1" applyBorder="1" applyAlignment="1">
      <alignment horizontal="center" vertical="center"/>
      <protection/>
    </xf>
    <xf numFmtId="0" fontId="23" fillId="0" borderId="39" xfId="98" applyFont="1" applyBorder="1" applyAlignment="1">
      <alignment horizontal="center" vertical="center"/>
      <protection/>
    </xf>
    <xf numFmtId="0" fontId="23" fillId="0" borderId="38" xfId="98" applyFont="1" applyBorder="1" applyAlignment="1">
      <alignment horizontal="center" vertical="center"/>
      <protection/>
    </xf>
    <xf numFmtId="0" fontId="23" fillId="0" borderId="72" xfId="98" applyFont="1" applyBorder="1" applyAlignment="1">
      <alignment horizontal="center" vertical="center"/>
      <protection/>
    </xf>
    <xf numFmtId="0" fontId="23" fillId="0" borderId="39" xfId="102" applyFont="1" applyBorder="1" applyAlignment="1">
      <alignment horizontal="center"/>
      <protection/>
    </xf>
    <xf numFmtId="0" fontId="51" fillId="0" borderId="0" xfId="102" applyFont="1" applyBorder="1" applyAlignment="1">
      <alignment horizontal="center"/>
      <protection/>
    </xf>
    <xf numFmtId="0" fontId="38" fillId="0" borderId="89" xfId="102" applyFont="1" applyBorder="1" applyAlignment="1">
      <alignment horizontal="center"/>
      <protection/>
    </xf>
    <xf numFmtId="0" fontId="38" fillId="0" borderId="51" xfId="102" applyFont="1" applyBorder="1" applyAlignment="1">
      <alignment horizontal="center"/>
      <protection/>
    </xf>
    <xf numFmtId="0" fontId="38" fillId="0" borderId="53" xfId="102" applyFont="1" applyBorder="1" applyAlignment="1">
      <alignment horizontal="center"/>
      <protection/>
    </xf>
    <xf numFmtId="0" fontId="46" fillId="0" borderId="0" xfId="102" applyFont="1" applyBorder="1" applyAlignment="1">
      <alignment horizontal="center"/>
      <protection/>
    </xf>
    <xf numFmtId="3" fontId="23" fillId="0" borderId="88" xfId="102" applyNumberFormat="1" applyFont="1" applyBorder="1" applyAlignment="1">
      <alignment horizontal="center" vertical="center" wrapText="1"/>
      <protection/>
    </xf>
    <xf numFmtId="3" fontId="23" fillId="0" borderId="52" xfId="102" applyNumberFormat="1" applyFont="1" applyBorder="1" applyAlignment="1">
      <alignment horizontal="center" vertical="center" wrapText="1"/>
      <protection/>
    </xf>
    <xf numFmtId="3" fontId="23" fillId="0" borderId="78" xfId="102" applyNumberFormat="1" applyFont="1" applyBorder="1" applyAlignment="1">
      <alignment horizontal="center" vertical="center" wrapText="1"/>
      <protection/>
    </xf>
    <xf numFmtId="0" fontId="23" fillId="0" borderId="39" xfId="102" applyFont="1" applyBorder="1" applyAlignment="1">
      <alignment horizontal="center" vertical="center" wrapText="1"/>
      <protection/>
    </xf>
    <xf numFmtId="0" fontId="38" fillId="0" borderId="51" xfId="102" applyFont="1" applyFill="1" applyBorder="1" applyAlignment="1">
      <alignment/>
      <protection/>
    </xf>
    <xf numFmtId="0" fontId="0" fillId="0" borderId="38" xfId="0" applyBorder="1" applyAlignment="1">
      <alignment/>
    </xf>
    <xf numFmtId="0" fontId="23" fillId="0" borderId="51" xfId="102" applyFont="1" applyFill="1" applyBorder="1" applyAlignment="1">
      <alignment horizontal="left"/>
      <protection/>
    </xf>
    <xf numFmtId="0" fontId="23" fillId="0" borderId="48" xfId="102" applyFont="1" applyFill="1" applyBorder="1" applyAlignment="1">
      <alignment horizontal="left"/>
      <protection/>
    </xf>
    <xf numFmtId="0" fontId="23" fillId="0" borderId="49" xfId="102" applyFont="1" applyFill="1" applyBorder="1" applyAlignment="1">
      <alignment horizontal="left"/>
      <protection/>
    </xf>
    <xf numFmtId="1" fontId="23" fillId="0" borderId="51" xfId="98" applyNumberFormat="1" applyFont="1" applyFill="1" applyBorder="1" applyAlignment="1">
      <alignment horizontal="left" vertical="center"/>
      <protection/>
    </xf>
    <xf numFmtId="0" fontId="23" fillId="0" borderId="89" xfId="102" applyFont="1" applyFill="1" applyBorder="1" applyAlignment="1">
      <alignment horizontal="left" vertical="center"/>
      <protection/>
    </xf>
    <xf numFmtId="0" fontId="23" fillId="0" borderId="39" xfId="102" applyFont="1" applyFill="1" applyBorder="1" applyAlignment="1">
      <alignment horizontal="left" vertical="center"/>
      <protection/>
    </xf>
    <xf numFmtId="0" fontId="38" fillId="0" borderId="38" xfId="102" applyFont="1" applyFill="1" applyBorder="1" applyAlignment="1">
      <alignment horizontal="center"/>
      <protection/>
    </xf>
    <xf numFmtId="0" fontId="38" fillId="0" borderId="13" xfId="105" applyFont="1" applyFill="1" applyBorder="1" applyAlignment="1">
      <alignment horizontal="center" vertical="center" wrapText="1"/>
      <protection/>
    </xf>
    <xf numFmtId="0" fontId="37" fillId="0" borderId="40" xfId="105" applyFont="1" applyFill="1" applyBorder="1" applyAlignment="1">
      <alignment horizontal="center" vertical="center" wrapText="1"/>
      <protection/>
    </xf>
    <xf numFmtId="0" fontId="37" fillId="0" borderId="14" xfId="105" applyFont="1" applyFill="1" applyBorder="1" applyAlignment="1">
      <alignment horizontal="center" vertical="center" wrapText="1"/>
      <protection/>
    </xf>
    <xf numFmtId="0" fontId="38" fillId="0" borderId="40" xfId="0" applyFont="1" applyFill="1" applyBorder="1" applyAlignment="1">
      <alignment horizontal="center" vertical="center" wrapText="1"/>
    </xf>
    <xf numFmtId="0" fontId="37" fillId="0" borderId="40" xfId="105" applyFont="1" applyFill="1" applyBorder="1" applyAlignment="1">
      <alignment horizontal="center" vertical="center"/>
      <protection/>
    </xf>
    <xf numFmtId="0" fontId="37" fillId="0" borderId="79" xfId="105" applyFont="1" applyFill="1" applyBorder="1" applyAlignment="1">
      <alignment horizontal="center" vertical="center" wrapText="1"/>
      <protection/>
    </xf>
    <xf numFmtId="0" fontId="37" fillId="0" borderId="60" xfId="105" applyFont="1" applyFill="1" applyBorder="1" applyAlignment="1">
      <alignment horizontal="center" vertical="center" wrapText="1"/>
      <protection/>
    </xf>
    <xf numFmtId="0" fontId="37" fillId="0" borderId="15" xfId="105" applyFont="1" applyFill="1" applyBorder="1" applyAlignment="1">
      <alignment horizontal="center" vertical="center" wrapText="1"/>
      <protection/>
    </xf>
    <xf numFmtId="0" fontId="37" fillId="0" borderId="13" xfId="105" applyFont="1" applyFill="1" applyBorder="1" applyAlignment="1">
      <alignment horizontal="center" vertical="center" wrapText="1"/>
      <protection/>
    </xf>
    <xf numFmtId="0" fontId="37" fillId="0" borderId="46" xfId="105" applyFont="1" applyFill="1" applyBorder="1" applyAlignment="1">
      <alignment horizontal="center" vertical="center" wrapText="1"/>
      <protection/>
    </xf>
    <xf numFmtId="0" fontId="37" fillId="0" borderId="76" xfId="105" applyFont="1" applyFill="1" applyBorder="1" applyAlignment="1">
      <alignment horizontal="center" vertical="center" wrapText="1"/>
      <protection/>
    </xf>
    <xf numFmtId="0" fontId="36" fillId="0" borderId="0" xfId="105" applyFont="1" applyFill="1" applyBorder="1" applyAlignment="1">
      <alignment horizontal="center" vertical="center"/>
      <protection/>
    </xf>
    <xf numFmtId="0" fontId="38" fillId="0" borderId="21" xfId="105" applyFont="1" applyFill="1" applyBorder="1" applyAlignment="1">
      <alignment horizontal="center" vertical="center" wrapText="1"/>
      <protection/>
    </xf>
    <xf numFmtId="0" fontId="38" fillId="0" borderId="15" xfId="105" applyFont="1" applyFill="1" applyBorder="1" applyAlignment="1">
      <alignment horizontal="center" vertical="center" wrapText="1"/>
      <protection/>
    </xf>
    <xf numFmtId="0" fontId="23" fillId="0" borderId="13" xfId="105" applyFont="1" applyFill="1" applyBorder="1" applyAlignment="1">
      <alignment horizontal="center" vertical="center" wrapText="1"/>
      <protection/>
    </xf>
    <xf numFmtId="0" fontId="23" fillId="0" borderId="15" xfId="105" applyFont="1" applyFill="1" applyBorder="1" applyAlignment="1">
      <alignment horizontal="center" vertical="center" wrapText="1"/>
      <protection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/>
    </xf>
    <xf numFmtId="0" fontId="38" fillId="0" borderId="13" xfId="0" applyFont="1" applyBorder="1" applyAlignment="1">
      <alignment/>
    </xf>
    <xf numFmtId="0" fontId="51" fillId="0" borderId="14" xfId="105" applyFont="1" applyFill="1" applyBorder="1" applyAlignment="1">
      <alignment horizontal="left" vertical="center" wrapText="1"/>
      <protection/>
    </xf>
    <xf numFmtId="0" fontId="63" fillId="0" borderId="14" xfId="0" applyFont="1" applyBorder="1" applyAlignment="1">
      <alignment vertical="center" wrapText="1"/>
    </xf>
    <xf numFmtId="0" fontId="51" fillId="0" borderId="13" xfId="105" applyFont="1" applyFill="1" applyBorder="1" applyAlignment="1">
      <alignment horizontal="center" vertical="center" wrapText="1"/>
      <protection/>
    </xf>
    <xf numFmtId="0" fontId="63" fillId="0" borderId="13" xfId="0" applyFont="1" applyBorder="1" applyAlignment="1">
      <alignment horizontal="center" vertical="center" wrapText="1"/>
    </xf>
    <xf numFmtId="0" fontId="40" fillId="0" borderId="0" xfId="106" applyFont="1" applyFill="1" applyBorder="1" applyAlignment="1">
      <alignment horizontal="center" vertical="center"/>
      <protection/>
    </xf>
    <xf numFmtId="0" fontId="37" fillId="0" borderId="119" xfId="106" applyFont="1" applyFill="1" applyBorder="1" applyAlignment="1">
      <alignment horizontal="center" vertical="center" wrapText="1"/>
      <protection/>
    </xf>
    <xf numFmtId="0" fontId="37" fillId="0" borderId="120" xfId="106" applyFont="1" applyFill="1" applyBorder="1" applyAlignment="1">
      <alignment horizontal="center" vertical="center" wrapText="1"/>
      <protection/>
    </xf>
    <xf numFmtId="0" fontId="37" fillId="0" borderId="121" xfId="106" applyFont="1" applyFill="1" applyBorder="1" applyAlignment="1">
      <alignment horizontal="center" vertical="center" wrapText="1"/>
      <protection/>
    </xf>
    <xf numFmtId="0" fontId="37" fillId="0" borderId="122" xfId="106" applyFont="1" applyFill="1" applyBorder="1" applyAlignment="1">
      <alignment horizontal="center" vertical="center" wrapText="1"/>
      <protection/>
    </xf>
    <xf numFmtId="0" fontId="37" fillId="0" borderId="123" xfId="106" applyFont="1" applyFill="1" applyBorder="1" applyAlignment="1">
      <alignment horizontal="center" vertical="center" wrapText="1"/>
      <protection/>
    </xf>
    <xf numFmtId="0" fontId="37" fillId="0" borderId="49" xfId="106" applyFont="1" applyFill="1" applyBorder="1" applyAlignment="1">
      <alignment horizontal="center" vertical="center" wrapText="1"/>
      <protection/>
    </xf>
    <xf numFmtId="0" fontId="37" fillId="0" borderId="124" xfId="106" applyFont="1" applyFill="1" applyBorder="1" applyAlignment="1">
      <alignment horizontal="center" vertical="center" wrapText="1"/>
      <protection/>
    </xf>
    <xf numFmtId="0" fontId="37" fillId="0" borderId="125" xfId="106" applyFont="1" applyFill="1" applyBorder="1" applyAlignment="1">
      <alignment horizontal="center" vertical="center" wrapText="1"/>
      <protection/>
    </xf>
    <xf numFmtId="0" fontId="37" fillId="0" borderId="126" xfId="106" applyFont="1" applyFill="1" applyBorder="1" applyAlignment="1">
      <alignment horizontal="center" vertical="center" wrapText="1"/>
      <protection/>
    </xf>
    <xf numFmtId="0" fontId="37" fillId="0" borderId="50" xfId="106" applyFont="1" applyFill="1" applyBorder="1" applyAlignment="1">
      <alignment horizontal="center" vertical="center" wrapText="1"/>
      <protection/>
    </xf>
    <xf numFmtId="0" fontId="37" fillId="0" borderId="39" xfId="106" applyFont="1" applyFill="1" applyBorder="1" applyAlignment="1">
      <alignment horizontal="center" vertical="center"/>
      <protection/>
    </xf>
    <xf numFmtId="0" fontId="38" fillId="0" borderId="127" xfId="106" applyFont="1" applyFill="1" applyBorder="1" applyAlignment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7" fillId="0" borderId="88" xfId="106" applyFont="1" applyFill="1" applyBorder="1" applyAlignment="1">
      <alignment horizontal="center" vertical="center" wrapText="1"/>
      <protection/>
    </xf>
    <xf numFmtId="0" fontId="37" fillId="0" borderId="52" xfId="106" applyFont="1" applyFill="1" applyBorder="1" applyAlignment="1">
      <alignment horizontal="center" vertical="center" wrapText="1"/>
      <protection/>
    </xf>
    <xf numFmtId="0" fontId="37" fillId="0" borderId="89" xfId="106" applyFont="1" applyFill="1" applyBorder="1" applyAlignment="1">
      <alignment horizontal="center" vertical="center" wrapText="1"/>
      <protection/>
    </xf>
    <xf numFmtId="0" fontId="37" fillId="0" borderId="39" xfId="106" applyFont="1" applyFill="1" applyBorder="1" applyAlignment="1">
      <alignment horizontal="center" vertical="center" wrapText="1"/>
      <protection/>
    </xf>
    <xf numFmtId="0" fontId="37" fillId="0" borderId="51" xfId="106" applyFont="1" applyFill="1" applyBorder="1" applyAlignment="1">
      <alignment horizontal="center" vertical="center" wrapText="1"/>
      <protection/>
    </xf>
    <xf numFmtId="0" fontId="37" fillId="0" borderId="38" xfId="106" applyFont="1" applyFill="1" applyBorder="1" applyAlignment="1">
      <alignment horizontal="center" vertical="center" wrapText="1"/>
      <protection/>
    </xf>
    <xf numFmtId="0" fontId="23" fillId="0" borderId="127" xfId="106" applyFont="1" applyFill="1" applyBorder="1" applyAlignment="1">
      <alignment horizontal="center" vertical="center" wrapText="1"/>
      <protection/>
    </xf>
    <xf numFmtId="0" fontId="0" fillId="0" borderId="12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23" fillId="0" borderId="127" xfId="106" applyNumberFormat="1" applyFont="1" applyFill="1" applyBorder="1" applyAlignment="1">
      <alignment horizontal="center" vertical="center"/>
      <protection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23" fillId="0" borderId="127" xfId="0" applyFont="1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3" fontId="38" fillId="0" borderId="127" xfId="106" applyNumberFormat="1" applyFont="1" applyFill="1" applyBorder="1" applyAlignment="1">
      <alignment horizontal="center" vertical="center"/>
      <protection/>
    </xf>
    <xf numFmtId="0" fontId="41" fillId="0" borderId="0" xfId="103" applyFont="1" applyAlignment="1">
      <alignment horizontal="center" vertical="center"/>
      <protection/>
    </xf>
    <xf numFmtId="0" fontId="41" fillId="0" borderId="0" xfId="103" applyFont="1" applyAlignment="1">
      <alignment horizontal="center"/>
      <protection/>
    </xf>
    <xf numFmtId="0" fontId="41" fillId="0" borderId="0" xfId="103" applyFont="1" applyBorder="1" applyAlignment="1">
      <alignment horizontal="center" vertical="center"/>
      <protection/>
    </xf>
    <xf numFmtId="0" fontId="41" fillId="0" borderId="0" xfId="103" applyFont="1" applyBorder="1" applyAlignment="1">
      <alignment horizontal="center"/>
      <protection/>
    </xf>
    <xf numFmtId="0" fontId="22" fillId="0" borderId="0" xfId="0" applyFont="1" applyAlignment="1">
      <alignment horizontal="center" wrapText="1"/>
    </xf>
    <xf numFmtId="0" fontId="22" fillId="0" borderId="0" xfId="103" applyFont="1" applyAlignment="1">
      <alignment horizontal="center"/>
      <protection/>
    </xf>
    <xf numFmtId="0" fontId="23" fillId="0" borderId="0" xfId="103" applyFont="1" applyAlignment="1">
      <alignment horizontal="center" wrapText="1"/>
      <protection/>
    </xf>
    <xf numFmtId="0" fontId="22" fillId="0" borderId="0" xfId="103" applyFont="1" applyBorder="1" applyAlignment="1">
      <alignment horizontal="center"/>
      <protection/>
    </xf>
    <xf numFmtId="0" fontId="22" fillId="0" borderId="0" xfId="103" applyFont="1" applyBorder="1" applyAlignment="1">
      <alignment horizontal="center" vertical="center"/>
      <protection/>
    </xf>
    <xf numFmtId="0" fontId="23" fillId="0" borderId="130" xfId="0" applyFont="1" applyBorder="1" applyAlignment="1">
      <alignment horizontal="center" vertical="top" wrapText="1"/>
    </xf>
    <xf numFmtId="0" fontId="23" fillId="0" borderId="77" xfId="0" applyFont="1" applyBorder="1" applyAlignment="1">
      <alignment horizontal="center" vertical="top" wrapText="1"/>
    </xf>
    <xf numFmtId="0" fontId="23" fillId="0" borderId="130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3" fontId="41" fillId="0" borderId="79" xfId="104" applyNumberFormat="1" applyFont="1" applyBorder="1" applyAlignment="1">
      <alignment horizontal="center" vertical="center" wrapText="1"/>
      <protection/>
    </xf>
    <xf numFmtId="3" fontId="41" fillId="0" borderId="61" xfId="104" applyNumberFormat="1" applyFont="1" applyBorder="1" applyAlignment="1">
      <alignment horizontal="center" vertical="center" wrapText="1"/>
      <protection/>
    </xf>
    <xf numFmtId="0" fontId="34" fillId="0" borderId="0" xfId="104" applyFont="1" applyAlignment="1">
      <alignment horizontal="left" wrapText="1"/>
      <protection/>
    </xf>
    <xf numFmtId="0" fontId="41" fillId="0" borderId="0" xfId="104" applyFont="1" applyAlignment="1">
      <alignment horizontal="center" wrapText="1"/>
      <protection/>
    </xf>
    <xf numFmtId="0" fontId="41" fillId="0" borderId="15" xfId="104" applyFont="1" applyBorder="1" applyAlignment="1">
      <alignment horizontal="center" vertical="center" wrapText="1"/>
      <protection/>
    </xf>
    <xf numFmtId="0" fontId="41" fillId="0" borderId="21" xfId="104" applyFont="1" applyBorder="1" applyAlignment="1">
      <alignment horizontal="center" vertical="center" wrapText="1"/>
      <protection/>
    </xf>
    <xf numFmtId="0" fontId="41" fillId="0" borderId="40" xfId="104" applyFont="1" applyBorder="1" applyAlignment="1">
      <alignment horizontal="center" vertical="center"/>
      <protection/>
    </xf>
    <xf numFmtId="0" fontId="41" fillId="0" borderId="22" xfId="104" applyFont="1" applyBorder="1" applyAlignment="1">
      <alignment horizontal="center" vertical="center"/>
      <protection/>
    </xf>
    <xf numFmtId="0" fontId="41" fillId="0" borderId="40" xfId="104" applyFont="1" applyBorder="1" applyAlignment="1">
      <alignment horizontal="center" vertical="center" wrapText="1"/>
      <protection/>
    </xf>
    <xf numFmtId="0" fontId="41" fillId="0" borderId="22" xfId="104" applyFont="1" applyBorder="1" applyAlignment="1">
      <alignment horizontal="center" vertical="center" wrapText="1"/>
      <protection/>
    </xf>
    <xf numFmtId="3" fontId="41" fillId="0" borderId="116" xfId="104" applyNumberFormat="1" applyFont="1" applyBorder="1" applyAlignment="1">
      <alignment horizontal="center" vertical="center"/>
      <protection/>
    </xf>
    <xf numFmtId="3" fontId="41" fillId="0" borderId="91" xfId="104" applyNumberFormat="1" applyFont="1" applyBorder="1" applyAlignment="1">
      <alignment horizontal="center" vertical="center"/>
      <protection/>
    </xf>
    <xf numFmtId="3" fontId="41" fillId="0" borderId="117" xfId="104" applyNumberFormat="1" applyFont="1" applyBorder="1" applyAlignment="1">
      <alignment horizontal="center" vertical="center"/>
      <protection/>
    </xf>
    <xf numFmtId="0" fontId="68" fillId="0" borderId="79" xfId="0" applyFont="1" applyFill="1" applyBorder="1" applyAlignment="1">
      <alignment horizontal="center" vertical="top" wrapText="1"/>
    </xf>
    <xf numFmtId="0" fontId="69" fillId="0" borderId="6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8" fillId="0" borderId="15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top"/>
    </xf>
    <xf numFmtId="0" fontId="68" fillId="0" borderId="40" xfId="0" applyFont="1" applyFill="1" applyBorder="1" applyAlignment="1">
      <alignment horizontal="center" vertical="top" wrapText="1"/>
    </xf>
    <xf numFmtId="0" fontId="69" fillId="0" borderId="14" xfId="0" applyFont="1" applyFill="1" applyBorder="1" applyAlignment="1">
      <alignment horizontal="center" vertical="top" wrapText="1"/>
    </xf>
    <xf numFmtId="0" fontId="46" fillId="0" borderId="0" xfId="112" applyFont="1" applyAlignment="1">
      <alignment horizontal="center"/>
      <protection/>
    </xf>
    <xf numFmtId="0" fontId="68" fillId="0" borderId="14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112" applyFont="1" applyBorder="1" applyAlignment="1">
      <alignment horizontal="center" wrapText="1"/>
      <protection/>
    </xf>
    <xf numFmtId="0" fontId="46" fillId="0" borderId="89" xfId="112" applyFont="1" applyBorder="1" applyAlignment="1">
      <alignment horizontal="center" vertical="center" wrapText="1"/>
      <protection/>
    </xf>
    <xf numFmtId="0" fontId="46" fillId="0" borderId="131" xfId="112" applyFont="1" applyBorder="1" applyAlignment="1">
      <alignment horizontal="center" vertical="center" wrapText="1"/>
      <protection/>
    </xf>
    <xf numFmtId="0" fontId="46" fillId="0" borderId="39" xfId="112" applyFont="1" applyBorder="1" applyAlignment="1">
      <alignment horizontal="center"/>
      <protection/>
    </xf>
    <xf numFmtId="0" fontId="46" fillId="0" borderId="39" xfId="112" applyFont="1" applyBorder="1" applyAlignment="1">
      <alignment horizontal="center" vertical="center" wrapText="1"/>
      <protection/>
    </xf>
    <xf numFmtId="0" fontId="46" fillId="0" borderId="132" xfId="112" applyFont="1" applyBorder="1" applyAlignment="1">
      <alignment horizontal="center" vertical="center" wrapText="1"/>
      <protection/>
    </xf>
    <xf numFmtId="0" fontId="46" fillId="0" borderId="88" xfId="112" applyFont="1" applyBorder="1" applyAlignment="1">
      <alignment horizontal="center" vertical="center" wrapText="1"/>
      <protection/>
    </xf>
    <xf numFmtId="0" fontId="46" fillId="0" borderId="133" xfId="112" applyFont="1" applyBorder="1" applyAlignment="1">
      <alignment horizontal="center" vertical="center" wrapText="1"/>
      <protection/>
    </xf>
    <xf numFmtId="0" fontId="69" fillId="0" borderId="14" xfId="0" applyFont="1" applyBorder="1" applyAlignment="1">
      <alignment horizontal="center" vertical="top" wrapText="1"/>
    </xf>
    <xf numFmtId="3" fontId="22" fillId="0" borderId="116" xfId="99" applyNumberFormat="1" applyFont="1" applyFill="1" applyBorder="1" applyAlignment="1">
      <alignment horizontal="center" vertical="center" wrapText="1"/>
      <protection/>
    </xf>
    <xf numFmtId="3" fontId="24" fillId="0" borderId="134" xfId="99" applyNumberFormat="1" applyFont="1" applyFill="1" applyBorder="1" applyAlignment="1">
      <alignment horizontal="center" vertical="center" wrapText="1"/>
      <protection/>
    </xf>
    <xf numFmtId="0" fontId="29" fillId="0" borderId="135" xfId="99" applyFont="1" applyFill="1" applyBorder="1" applyAlignment="1">
      <alignment horizontal="center" vertical="center" wrapText="1"/>
      <protection/>
    </xf>
    <xf numFmtId="0" fontId="29" fillId="0" borderId="31" xfId="99" applyFont="1" applyFill="1" applyBorder="1" applyAlignment="1">
      <alignment horizontal="center" vertical="center" wrapText="1"/>
      <protection/>
    </xf>
    <xf numFmtId="49" fontId="30" fillId="0" borderId="136" xfId="99" applyNumberFormat="1" applyFont="1" applyFill="1" applyBorder="1" applyAlignment="1">
      <alignment horizontal="center" vertical="center"/>
      <protection/>
    </xf>
    <xf numFmtId="49" fontId="30" fillId="0" borderId="137" xfId="99" applyNumberFormat="1" applyFont="1" applyFill="1" applyBorder="1" applyAlignment="1">
      <alignment horizontal="center" vertical="center"/>
      <protection/>
    </xf>
    <xf numFmtId="0" fontId="41" fillId="0" borderId="116" xfId="99" applyFont="1" applyFill="1" applyBorder="1" applyAlignment="1">
      <alignment horizontal="center"/>
      <protection/>
    </xf>
    <xf numFmtId="0" fontId="41" fillId="0" borderId="91" xfId="99" applyFont="1" applyFill="1" applyBorder="1" applyAlignment="1">
      <alignment horizontal="center"/>
      <protection/>
    </xf>
    <xf numFmtId="3" fontId="56" fillId="0" borderId="40" xfId="99" applyNumberFormat="1" applyFont="1" applyFill="1" applyBorder="1" applyAlignment="1">
      <alignment horizontal="center" vertical="center" wrapText="1"/>
      <protection/>
    </xf>
    <xf numFmtId="3" fontId="24" fillId="0" borderId="14" xfId="99" applyNumberFormat="1" applyFont="1" applyFill="1" applyBorder="1" applyAlignment="1">
      <alignment horizontal="center" vertical="center" wrapText="1"/>
      <protection/>
    </xf>
    <xf numFmtId="0" fontId="30" fillId="0" borderId="0" xfId="99" applyFont="1" applyFill="1" applyBorder="1" applyAlignment="1">
      <alignment horizontal="center"/>
      <protection/>
    </xf>
    <xf numFmtId="0" fontId="0" fillId="0" borderId="0" xfId="0" applyAlignment="1">
      <alignment/>
    </xf>
    <xf numFmtId="0" fontId="29" fillId="0" borderId="0" xfId="99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30" fillId="0" borderId="0" xfId="99" applyFont="1" applyFill="1" applyAlignment="1">
      <alignment horizontal="center"/>
      <protection/>
    </xf>
    <xf numFmtId="3" fontId="62" fillId="0" borderId="138" xfId="99" applyNumberFormat="1" applyFont="1" applyFill="1" applyBorder="1" applyAlignment="1">
      <alignment horizontal="center" vertical="center" wrapText="1"/>
      <protection/>
    </xf>
    <xf numFmtId="3" fontId="62" fillId="0" borderId="102" xfId="99" applyNumberFormat="1" applyFont="1" applyFill="1" applyBorder="1" applyAlignment="1">
      <alignment horizontal="center" vertical="center" wrapText="1"/>
      <protection/>
    </xf>
    <xf numFmtId="3" fontId="22" fillId="0" borderId="139" xfId="99" applyNumberFormat="1" applyFont="1" applyFill="1" applyBorder="1" applyAlignment="1">
      <alignment horizontal="center" vertical="center" wrapText="1"/>
      <protection/>
    </xf>
    <xf numFmtId="3" fontId="24" fillId="0" borderId="140" xfId="99" applyNumberFormat="1" applyFont="1" applyFill="1" applyBorder="1" applyAlignment="1">
      <alignment horizontal="center" vertical="center" wrapText="1"/>
      <protection/>
    </xf>
    <xf numFmtId="3" fontId="22" fillId="0" borderId="99" xfId="99" applyNumberFormat="1" applyFont="1" applyFill="1" applyBorder="1" applyAlignment="1">
      <alignment horizontal="center" vertical="center" wrapText="1"/>
      <protection/>
    </xf>
    <xf numFmtId="3" fontId="24" fillId="0" borderId="104" xfId="99" applyNumberFormat="1" applyFont="1" applyFill="1" applyBorder="1" applyAlignment="1">
      <alignment horizontal="center" vertical="center" wrapText="1"/>
      <protection/>
    </xf>
    <xf numFmtId="3" fontId="30" fillId="0" borderId="79" xfId="99" applyNumberFormat="1" applyFont="1" applyFill="1" applyBorder="1" applyAlignment="1">
      <alignment horizontal="center" vertical="center" wrapText="1"/>
      <protection/>
    </xf>
    <xf numFmtId="3" fontId="29" fillId="0" borderId="141" xfId="99" applyNumberFormat="1" applyFont="1" applyFill="1" applyBorder="1" applyAlignment="1">
      <alignment horizontal="center" vertical="center" wrapText="1"/>
      <protection/>
    </xf>
    <xf numFmtId="0" fontId="24" fillId="0" borderId="47" xfId="99" applyFont="1" applyFill="1" applyBorder="1" applyAlignment="1">
      <alignment horizontal="center" vertical="center" wrapText="1"/>
      <protection/>
    </xf>
    <xf numFmtId="0" fontId="24" fillId="0" borderId="142" xfId="99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3" fontId="23" fillId="0" borderId="40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23" fillId="0" borderId="40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4" fontId="23" fillId="0" borderId="79" xfId="0" applyNumberFormat="1" applyFont="1" applyBorder="1" applyAlignment="1">
      <alignment horizontal="center" wrapText="1"/>
    </xf>
    <xf numFmtId="4" fontId="39" fillId="0" borderId="60" xfId="0" applyNumberFormat="1" applyFont="1" applyBorder="1" applyAlignment="1">
      <alignment horizont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4" fontId="23" fillId="0" borderId="60" xfId="0" applyNumberFormat="1" applyFont="1" applyBorder="1" applyAlignment="1">
      <alignment horizontal="center"/>
    </xf>
    <xf numFmtId="4" fontId="39" fillId="0" borderId="60" xfId="0" applyNumberFormat="1" applyFont="1" applyBorder="1" applyAlignment="1">
      <alignment horizontal="center"/>
    </xf>
    <xf numFmtId="4" fontId="47" fillId="0" borderId="0" xfId="0" applyNumberFormat="1" applyFont="1" applyAlignment="1">
      <alignment wrapText="1"/>
    </xf>
    <xf numFmtId="0" fontId="65" fillId="0" borderId="0" xfId="0" applyFont="1" applyAlignment="1">
      <alignment/>
    </xf>
    <xf numFmtId="0" fontId="30" fillId="0" borderId="0" xfId="111" applyFont="1" applyAlignment="1">
      <alignment horizontal="center"/>
      <protection/>
    </xf>
    <xf numFmtId="0" fontId="22" fillId="0" borderId="0" xfId="111" applyFont="1" applyAlignment="1">
      <alignment horizontal="center"/>
      <protection/>
    </xf>
    <xf numFmtId="0" fontId="24" fillId="0" borderId="34" xfId="111" applyFont="1" applyBorder="1" applyAlignment="1">
      <alignment horizontal="left" vertical="top"/>
      <protection/>
    </xf>
    <xf numFmtId="0" fontId="24" fillId="0" borderId="143" xfId="111" applyFont="1" applyBorder="1" applyAlignment="1">
      <alignment horizontal="left" vertical="top"/>
      <protection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3" fillId="53" borderId="144" xfId="0" applyFont="1" applyFill="1" applyBorder="1" applyAlignment="1">
      <alignment horizontal="center" vertical="center" wrapText="1"/>
    </xf>
    <xf numFmtId="0" fontId="0" fillId="53" borderId="20" xfId="0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23" fillId="53" borderId="46" xfId="0" applyFont="1" applyFill="1" applyBorder="1" applyAlignment="1">
      <alignment horizontal="center" vertical="center" wrapText="1"/>
    </xf>
    <xf numFmtId="0" fontId="0" fillId="53" borderId="76" xfId="0" applyFill="1" applyBorder="1" applyAlignment="1">
      <alignment horizontal="center" vertical="center" wrapText="1"/>
    </xf>
    <xf numFmtId="0" fontId="23" fillId="53" borderId="145" xfId="0" applyFont="1" applyFill="1" applyBorder="1" applyAlignment="1">
      <alignment horizontal="center" vertical="center" wrapText="1"/>
    </xf>
    <xf numFmtId="0" fontId="23" fillId="53" borderId="146" xfId="0" applyFont="1" applyFill="1" applyBorder="1" applyAlignment="1">
      <alignment horizontal="center" vertical="center" wrapText="1"/>
    </xf>
    <xf numFmtId="0" fontId="23" fillId="53" borderId="81" xfId="0" applyFont="1" applyFill="1" applyBorder="1" applyAlignment="1">
      <alignment horizontal="center" vertical="center" wrapText="1"/>
    </xf>
    <xf numFmtId="0" fontId="0" fillId="53" borderId="63" xfId="0" applyFill="1" applyBorder="1" applyAlignment="1">
      <alignment vertical="center" wrapText="1"/>
    </xf>
    <xf numFmtId="0" fontId="0" fillId="53" borderId="20" xfId="0" applyFill="1" applyBorder="1" applyAlignment="1">
      <alignment vertical="center" wrapText="1"/>
    </xf>
    <xf numFmtId="0" fontId="23" fillId="53" borderId="130" xfId="0" applyFont="1" applyFill="1" applyBorder="1" applyAlignment="1">
      <alignment horizontal="center" vertical="center" wrapText="1"/>
    </xf>
    <xf numFmtId="0" fontId="0" fillId="53" borderId="66" xfId="0" applyFill="1" applyBorder="1" applyAlignment="1">
      <alignment horizontal="center" vertical="center" wrapText="1"/>
    </xf>
    <xf numFmtId="0" fontId="0" fillId="53" borderId="19" xfId="0" applyFill="1" applyBorder="1" applyAlignment="1">
      <alignment horizontal="center" vertical="center" wrapText="1"/>
    </xf>
    <xf numFmtId="0" fontId="24" fillId="0" borderId="0" xfId="100" applyFont="1" applyBorder="1" applyAlignment="1">
      <alignment horizontal="left"/>
      <protection/>
    </xf>
    <xf numFmtId="0" fontId="22" fillId="0" borderId="0" xfId="100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3" fillId="0" borderId="0" xfId="101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3" fillId="0" borderId="119" xfId="101" applyFont="1" applyBorder="1" applyAlignment="1">
      <alignment horizontal="left" vertical="center"/>
      <protection/>
    </xf>
    <xf numFmtId="0" fontId="0" fillId="0" borderId="120" xfId="0" applyBorder="1" applyAlignment="1">
      <alignment horizontal="left" vertical="center"/>
    </xf>
    <xf numFmtId="0" fontId="0" fillId="0" borderId="121" xfId="0" applyBorder="1" applyAlignment="1">
      <alignment horizontal="left" vertical="center"/>
    </xf>
    <xf numFmtId="0" fontId="0" fillId="0" borderId="122" xfId="0" applyBorder="1" applyAlignment="1">
      <alignment horizontal="left" vertical="center"/>
    </xf>
    <xf numFmtId="0" fontId="23" fillId="0" borderId="0" xfId="101" applyFont="1" applyBorder="1" applyAlignment="1">
      <alignment horizontal="center" vertical="center" wrapText="1"/>
      <protection/>
    </xf>
    <xf numFmtId="0" fontId="38" fillId="0" borderId="53" xfId="101" applyFont="1" applyBorder="1" applyAlignment="1">
      <alignment horizontal="left" vertical="center"/>
      <protection/>
    </xf>
    <xf numFmtId="0" fontId="38" fillId="0" borderId="72" xfId="101" applyFont="1" applyBorder="1" applyAlignment="1">
      <alignment horizontal="left" vertical="center"/>
      <protection/>
    </xf>
    <xf numFmtId="0" fontId="23" fillId="0" borderId="39" xfId="101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23" fillId="0" borderId="88" xfId="101" applyFont="1" applyBorder="1" applyAlignment="1">
      <alignment horizontal="center" vertical="center" wrapText="1"/>
      <protection/>
    </xf>
    <xf numFmtId="0" fontId="23" fillId="0" borderId="52" xfId="101" applyFont="1" applyBorder="1" applyAlignment="1">
      <alignment horizontal="center" vertical="center" wrapText="1"/>
      <protection/>
    </xf>
    <xf numFmtId="0" fontId="23" fillId="0" borderId="0" xfId="10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3" fillId="0" borderId="89" xfId="101" applyFont="1" applyBorder="1" applyAlignment="1">
      <alignment horizontal="left" vertical="center"/>
      <protection/>
    </xf>
    <xf numFmtId="0" fontId="23" fillId="0" borderId="39" xfId="101" applyFont="1" applyBorder="1" applyAlignment="1">
      <alignment horizontal="left" vertical="center"/>
      <protection/>
    </xf>
    <xf numFmtId="0" fontId="23" fillId="0" borderId="51" xfId="101" applyFont="1" applyBorder="1" applyAlignment="1">
      <alignment horizontal="left" vertical="center"/>
      <protection/>
    </xf>
    <xf numFmtId="0" fontId="23" fillId="0" borderId="38" xfId="101" applyFont="1" applyBorder="1" applyAlignment="1">
      <alignment horizontal="left" vertical="center"/>
      <protection/>
    </xf>
    <xf numFmtId="0" fontId="23" fillId="0" borderId="53" xfId="101" applyFont="1" applyBorder="1" applyAlignment="1">
      <alignment horizontal="left" vertical="center"/>
      <protection/>
    </xf>
    <xf numFmtId="0" fontId="23" fillId="0" borderId="72" xfId="101" applyFont="1" applyBorder="1" applyAlignment="1">
      <alignment horizontal="left" vertical="center"/>
      <protection/>
    </xf>
    <xf numFmtId="0" fontId="38" fillId="0" borderId="0" xfId="101" applyFont="1" applyAlignment="1">
      <alignment horizontal="left" vertical="center"/>
      <protection/>
    </xf>
    <xf numFmtId="0" fontId="23" fillId="0" borderId="0" xfId="101" applyFont="1" applyAlignment="1">
      <alignment horizontal="center" vertical="center" wrapText="1"/>
      <protection/>
    </xf>
    <xf numFmtId="0" fontId="23" fillId="0" borderId="0" xfId="110" applyFont="1" applyAlignment="1">
      <alignment horizontal="center"/>
      <protection/>
    </xf>
    <xf numFmtId="0" fontId="23" fillId="0" borderId="147" xfId="101" applyFont="1" applyBorder="1" applyAlignment="1">
      <alignment horizontal="center" vertical="center"/>
      <protection/>
    </xf>
    <xf numFmtId="0" fontId="23" fillId="0" borderId="129" xfId="101" applyFont="1" applyBorder="1" applyAlignment="1">
      <alignment horizontal="center" vertical="center"/>
      <protection/>
    </xf>
    <xf numFmtId="0" fontId="23" fillId="0" borderId="124" xfId="101" applyFont="1" applyBorder="1" applyAlignment="1">
      <alignment horizontal="center" vertical="center"/>
      <protection/>
    </xf>
    <xf numFmtId="0" fontId="23" fillId="0" borderId="148" xfId="101" applyFont="1" applyBorder="1" applyAlignment="1">
      <alignment horizontal="center" vertical="center"/>
      <protection/>
    </xf>
    <xf numFmtId="0" fontId="23" fillId="0" borderId="125" xfId="101" applyFont="1" applyBorder="1" applyAlignment="1">
      <alignment horizontal="center" vertical="center"/>
      <protection/>
    </xf>
    <xf numFmtId="0" fontId="23" fillId="0" borderId="126" xfId="101" applyFont="1" applyBorder="1" applyAlignment="1">
      <alignment horizontal="center" vertical="center" wrapText="1"/>
      <protection/>
    </xf>
    <xf numFmtId="0" fontId="23" fillId="0" borderId="149" xfId="101" applyFont="1" applyBorder="1" applyAlignment="1">
      <alignment horizontal="center" vertical="center" wrapText="1"/>
      <protection/>
    </xf>
    <xf numFmtId="0" fontId="23" fillId="0" borderId="0" xfId="101" applyFont="1" applyAlignment="1">
      <alignment horizontal="center" wrapText="1"/>
      <protection/>
    </xf>
    <xf numFmtId="0" fontId="27" fillId="0" borderId="0" xfId="0" applyFont="1" applyAlignment="1">
      <alignment horizontal="center" wrapText="1"/>
    </xf>
  </cellXfs>
  <cellStyles count="11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Followed Hyperlink" xfId="94"/>
    <cellStyle name="Linked Cell" xfId="95"/>
    <cellStyle name="Magyarázó szöveg" xfId="96"/>
    <cellStyle name="Neutral" xfId="97"/>
    <cellStyle name="Normál_2011 ktv. táblák" xfId="98"/>
    <cellStyle name="Normál_2014.márc.2013.rend.mód.előt" xfId="99"/>
    <cellStyle name="Normál_22. melléklet" xfId="100"/>
    <cellStyle name="Normál_26.2. melléklet kötelezettségek alakulása" xfId="101"/>
    <cellStyle name="Normál_9702KV1_2011 ktv. táblák" xfId="102"/>
    <cellStyle name="Normál_Beruh.felú-átadott-átvett" xfId="103"/>
    <cellStyle name="Normál_EU-s" xfId="104"/>
    <cellStyle name="Normál_Int.tábla köt-ő és önk.fel.-1" xfId="105"/>
    <cellStyle name="Normál_Intézményi előir.dec. tábla" xfId="106"/>
    <cellStyle name="Normál_KTGVET98" xfId="107"/>
    <cellStyle name="Normál_Kuny Domokos ktgvetés  2013.01.16.-3" xfId="108"/>
    <cellStyle name="Normál_Munkafüzet1" xfId="109"/>
    <cellStyle name="Normál_Részesedések12.12" xfId="110"/>
    <cellStyle name="Normál_teljesítés tábla 04.13 " xfId="111"/>
    <cellStyle name="Normál_teljesítés tábla 04.13 -1" xfId="112"/>
    <cellStyle name="Note" xfId="113"/>
    <cellStyle name="Output" xfId="114"/>
    <cellStyle name="Összesen" xfId="115"/>
    <cellStyle name="Currency" xfId="116"/>
    <cellStyle name="Currency [0]" xfId="117"/>
    <cellStyle name="Rossz" xfId="118"/>
    <cellStyle name="Semleges" xfId="119"/>
    <cellStyle name="Számítás" xfId="120"/>
    <cellStyle name="Percent" xfId="121"/>
    <cellStyle name="Title" xfId="122"/>
    <cellStyle name="Total" xfId="123"/>
    <cellStyle name="Warning Text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view="pageLayout" zoomScaleNormal="75" zoomScaleSheetLayoutView="100" workbookViewId="0" topLeftCell="A1">
      <selection activeCell="A2" sqref="A2:K2"/>
    </sheetView>
  </sheetViews>
  <sheetFormatPr defaultColWidth="9.00390625" defaultRowHeight="12.75"/>
  <cols>
    <col min="1" max="1" width="6.125" style="8" customWidth="1"/>
    <col min="2" max="2" width="73.25390625" style="8" customWidth="1"/>
    <col min="3" max="3" width="11.375" style="8" customWidth="1"/>
    <col min="4" max="5" width="12.00390625" style="8" customWidth="1"/>
    <col min="6" max="6" width="12.875" style="8" customWidth="1"/>
    <col min="7" max="7" width="6.125" style="8" customWidth="1"/>
    <col min="8" max="8" width="64.375" style="8" customWidth="1"/>
    <col min="9" max="9" width="11.375" style="8" customWidth="1"/>
    <col min="10" max="10" width="11.75390625" style="8" customWidth="1"/>
    <col min="11" max="11" width="12.00390625" style="19" customWidth="1"/>
    <col min="12" max="12" width="13.00390625" style="8" customWidth="1"/>
    <col min="13" max="16384" width="9.125" style="8" customWidth="1"/>
  </cols>
  <sheetData>
    <row r="1" ht="12.75">
      <c r="A1" s="17"/>
    </row>
    <row r="2" spans="1:11" ht="12.75">
      <c r="A2" s="1328" t="s">
        <v>79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</row>
    <row r="3" spans="3:8" ht="13.5" thickBot="1">
      <c r="C3" s="19"/>
      <c r="D3" s="19"/>
      <c r="E3" s="19"/>
      <c r="F3" s="19"/>
      <c r="G3" s="19"/>
      <c r="H3" s="19"/>
    </row>
    <row r="4" spans="1:12" ht="13.5" customHeight="1">
      <c r="A4" s="1319" t="s">
        <v>80</v>
      </c>
      <c r="B4" s="1320"/>
      <c r="C4" s="1320"/>
      <c r="D4" s="1320"/>
      <c r="E4" s="1321"/>
      <c r="F4" s="1322"/>
      <c r="G4" s="1323" t="s">
        <v>81</v>
      </c>
      <c r="H4" s="1324"/>
      <c r="I4" s="1324"/>
      <c r="J4" s="1324"/>
      <c r="K4" s="1324"/>
      <c r="L4" s="1325"/>
    </row>
    <row r="5" spans="1:12" ht="14.25" customHeight="1" thickBot="1">
      <c r="A5" s="20"/>
      <c r="B5" s="21"/>
      <c r="C5" s="355" t="s">
        <v>873</v>
      </c>
      <c r="D5" s="355" t="s">
        <v>33</v>
      </c>
      <c r="E5" s="355" t="s">
        <v>321</v>
      </c>
      <c r="F5" s="618" t="s">
        <v>714</v>
      </c>
      <c r="G5" s="22"/>
      <c r="H5" s="23"/>
      <c r="I5" s="355" t="s">
        <v>874</v>
      </c>
      <c r="J5" s="513" t="s">
        <v>33</v>
      </c>
      <c r="K5" s="803" t="s">
        <v>321</v>
      </c>
      <c r="L5" s="812" t="s">
        <v>714</v>
      </c>
    </row>
    <row r="6" spans="1:12" ht="13.5" customHeight="1">
      <c r="A6" s="24" t="s">
        <v>83</v>
      </c>
      <c r="B6" s="25"/>
      <c r="C6" s="456">
        <v>271699</v>
      </c>
      <c r="D6" s="512">
        <v>479852</v>
      </c>
      <c r="E6" s="512">
        <v>468499</v>
      </c>
      <c r="F6" s="797">
        <f>E6/D6</f>
        <v>0.9763406216916882</v>
      </c>
      <c r="G6" s="26" t="s">
        <v>28</v>
      </c>
      <c r="H6" s="27"/>
      <c r="I6" s="451">
        <v>837643</v>
      </c>
      <c r="J6" s="514">
        <v>915607</v>
      </c>
      <c r="K6" s="804">
        <v>865519</v>
      </c>
      <c r="L6" s="813">
        <f>K6/J6</f>
        <v>0.94529530682924</v>
      </c>
    </row>
    <row r="7" spans="1:12" ht="13.5" customHeight="1">
      <c r="A7" s="16"/>
      <c r="B7" s="28"/>
      <c r="C7" s="356"/>
      <c r="D7" s="356"/>
      <c r="E7" s="356"/>
      <c r="F7" s="797"/>
      <c r="G7" s="12"/>
      <c r="H7" s="29"/>
      <c r="I7" s="360"/>
      <c r="J7" s="358"/>
      <c r="K7" s="796"/>
      <c r="L7" s="813"/>
    </row>
    <row r="8" spans="1:12" ht="12.75" customHeight="1">
      <c r="A8" s="16" t="s">
        <v>84</v>
      </c>
      <c r="B8" s="30"/>
      <c r="C8" s="357">
        <f>SUM(C9:C14)</f>
        <v>1773880</v>
      </c>
      <c r="D8" s="357">
        <v>1802456</v>
      </c>
      <c r="E8" s="357">
        <f>SUM(E9:E14)</f>
        <v>1804728</v>
      </c>
      <c r="F8" s="797">
        <f>E8/D8</f>
        <v>1.0012605023368115</v>
      </c>
      <c r="G8" s="12" t="s">
        <v>85</v>
      </c>
      <c r="H8" s="29"/>
      <c r="I8" s="360">
        <v>222964</v>
      </c>
      <c r="J8" s="358">
        <v>241241</v>
      </c>
      <c r="K8" s="796">
        <v>221085</v>
      </c>
      <c r="L8" s="813">
        <f>K8/J8</f>
        <v>0.916448696531684</v>
      </c>
    </row>
    <row r="9" spans="1:12" ht="12.75">
      <c r="A9" s="31"/>
      <c r="B9" s="32" t="s">
        <v>882</v>
      </c>
      <c r="C9" s="4">
        <v>1567000</v>
      </c>
      <c r="D9" s="4">
        <v>1589500</v>
      </c>
      <c r="E9" s="4">
        <v>1593816</v>
      </c>
      <c r="F9" s="798">
        <f aca="true" t="shared" si="0" ref="F9:F65">E9/D9</f>
        <v>1.0027153192827933</v>
      </c>
      <c r="G9" s="15"/>
      <c r="H9" s="29"/>
      <c r="I9" s="29"/>
      <c r="J9" s="4"/>
      <c r="K9" s="795"/>
      <c r="L9" s="813"/>
    </row>
    <row r="10" spans="1:12" ht="13.5" customHeight="1">
      <c r="A10" s="5"/>
      <c r="B10" s="33" t="s">
        <v>86</v>
      </c>
      <c r="C10" s="356">
        <v>115200</v>
      </c>
      <c r="D10" s="356">
        <v>106200</v>
      </c>
      <c r="E10" s="356">
        <v>106695</v>
      </c>
      <c r="F10" s="798">
        <f t="shared" si="0"/>
        <v>1.0046610169491526</v>
      </c>
      <c r="G10" s="12" t="s">
        <v>87</v>
      </c>
      <c r="H10" s="29"/>
      <c r="I10" s="360">
        <f>1335278+5000</f>
        <v>1340278</v>
      </c>
      <c r="J10" s="358">
        <v>1539458</v>
      </c>
      <c r="K10" s="796">
        <v>1376271</v>
      </c>
      <c r="L10" s="813">
        <f>K10/J10</f>
        <v>0.8939971080731011</v>
      </c>
    </row>
    <row r="11" spans="1:12" ht="12.75">
      <c r="A11" s="5"/>
      <c r="B11" s="34" t="s">
        <v>88</v>
      </c>
      <c r="C11" s="356">
        <v>2300</v>
      </c>
      <c r="D11" s="356">
        <v>2172</v>
      </c>
      <c r="E11" s="356">
        <v>2525</v>
      </c>
      <c r="F11" s="798">
        <f t="shared" si="0"/>
        <v>1.162523020257827</v>
      </c>
      <c r="G11" s="15"/>
      <c r="H11" s="29"/>
      <c r="I11" s="29"/>
      <c r="J11" s="4"/>
      <c r="K11" s="795"/>
      <c r="L11" s="813"/>
    </row>
    <row r="12" spans="1:12" ht="12.75">
      <c r="A12" s="3"/>
      <c r="B12" s="34" t="s">
        <v>893</v>
      </c>
      <c r="C12" s="356">
        <v>10000</v>
      </c>
      <c r="D12" s="356">
        <v>10000</v>
      </c>
      <c r="E12" s="356">
        <v>8365</v>
      </c>
      <c r="F12" s="798">
        <f t="shared" si="0"/>
        <v>0.8365</v>
      </c>
      <c r="G12" s="16" t="s">
        <v>89</v>
      </c>
      <c r="H12" s="30"/>
      <c r="I12" s="59">
        <f>SUM(I13:I14)</f>
        <v>576345</v>
      </c>
      <c r="J12" s="360">
        <f>SUM(J13:J14)</f>
        <v>854161</v>
      </c>
      <c r="K12" s="805">
        <f>SUM(K13:K14)</f>
        <v>832915</v>
      </c>
      <c r="L12" s="813">
        <f>K12/J12</f>
        <v>0.9751264691316976</v>
      </c>
    </row>
    <row r="13" spans="1:12" ht="12.75">
      <c r="A13" s="15"/>
      <c r="B13" s="29" t="s">
        <v>90</v>
      </c>
      <c r="C13" s="4">
        <v>32380</v>
      </c>
      <c r="D13" s="4">
        <v>38684</v>
      </c>
      <c r="E13" s="4">
        <v>37401</v>
      </c>
      <c r="F13" s="798">
        <f t="shared" si="0"/>
        <v>0.9668338331092958</v>
      </c>
      <c r="G13" s="15"/>
      <c r="H13" s="29" t="s">
        <v>91</v>
      </c>
      <c r="I13" s="452">
        <v>420631</v>
      </c>
      <c r="J13" s="4">
        <v>667167</v>
      </c>
      <c r="K13" s="795">
        <v>652340</v>
      </c>
      <c r="L13" s="813">
        <f>K13/J13</f>
        <v>0.9777761789776772</v>
      </c>
    </row>
    <row r="14" spans="1:12" ht="12.75">
      <c r="A14" s="15"/>
      <c r="B14" s="29" t="s">
        <v>895</v>
      </c>
      <c r="C14" s="4">
        <v>47000</v>
      </c>
      <c r="D14" s="4">
        <v>55900</v>
      </c>
      <c r="E14" s="4">
        <v>55926</v>
      </c>
      <c r="F14" s="798">
        <f t="shared" si="0"/>
        <v>1.0004651162790699</v>
      </c>
      <c r="G14" s="12"/>
      <c r="H14" s="28" t="s">
        <v>46</v>
      </c>
      <c r="I14" s="453">
        <v>155714</v>
      </c>
      <c r="J14" s="4">
        <v>186994</v>
      </c>
      <c r="K14" s="795">
        <v>180575</v>
      </c>
      <c r="L14" s="813">
        <f>K14/J14</f>
        <v>0.9656726953806004</v>
      </c>
    </row>
    <row r="15" spans="1:12" ht="12.75">
      <c r="A15" s="15"/>
      <c r="B15" s="29"/>
      <c r="C15" s="4"/>
      <c r="D15" s="4"/>
      <c r="E15" s="4"/>
      <c r="F15" s="797"/>
      <c r="G15" s="15"/>
      <c r="H15" s="29"/>
      <c r="I15" s="29"/>
      <c r="J15" s="4"/>
      <c r="K15" s="795"/>
      <c r="L15" s="813"/>
    </row>
    <row r="16" spans="1:12" ht="14.25" customHeight="1">
      <c r="A16" s="35" t="s">
        <v>92</v>
      </c>
      <c r="B16" s="36"/>
      <c r="C16" s="357">
        <f>SUM(C17:C19)</f>
        <v>855379</v>
      </c>
      <c r="D16" s="357">
        <f>SUM(D17:D19)</f>
        <v>1006930</v>
      </c>
      <c r="E16" s="357">
        <f>SUM(E17:E19)</f>
        <v>1006930</v>
      </c>
      <c r="F16" s="797">
        <f t="shared" si="0"/>
        <v>1</v>
      </c>
      <c r="G16" s="12" t="s">
        <v>93</v>
      </c>
      <c r="H16" s="37"/>
      <c r="I16" s="59">
        <v>2136937</v>
      </c>
      <c r="J16" s="358">
        <v>744494</v>
      </c>
      <c r="K16" s="796">
        <v>682607</v>
      </c>
      <c r="L16" s="813">
        <f>K16/J16</f>
        <v>0.9168737424344588</v>
      </c>
    </row>
    <row r="17" spans="1:12" ht="12.75">
      <c r="A17" s="15"/>
      <c r="B17" s="4" t="s">
        <v>1</v>
      </c>
      <c r="C17" s="4">
        <v>778320</v>
      </c>
      <c r="D17" s="4">
        <v>852623</v>
      </c>
      <c r="E17" s="4">
        <v>852623</v>
      </c>
      <c r="F17" s="798">
        <f t="shared" si="0"/>
        <v>1</v>
      </c>
      <c r="G17" s="15"/>
      <c r="H17" s="29"/>
      <c r="I17" s="29"/>
      <c r="J17" s="4"/>
      <c r="K17" s="795"/>
      <c r="L17" s="813"/>
    </row>
    <row r="18" spans="1:12" ht="12.75">
      <c r="A18" s="38"/>
      <c r="B18" s="39" t="s">
        <v>94</v>
      </c>
      <c r="C18" s="4">
        <v>77059</v>
      </c>
      <c r="D18" s="4">
        <v>85050</v>
      </c>
      <c r="E18" s="4">
        <v>85050</v>
      </c>
      <c r="F18" s="798">
        <f t="shared" si="0"/>
        <v>1</v>
      </c>
      <c r="G18" s="12" t="s">
        <v>95</v>
      </c>
      <c r="H18" s="37"/>
      <c r="I18" s="360">
        <v>138549</v>
      </c>
      <c r="J18" s="358">
        <v>161880</v>
      </c>
      <c r="K18" s="796">
        <v>77511</v>
      </c>
      <c r="L18" s="813">
        <f>K18/J18</f>
        <v>0.478817642698295</v>
      </c>
    </row>
    <row r="19" spans="1:12" ht="12.75">
      <c r="A19" s="15"/>
      <c r="B19" s="29" t="s">
        <v>564</v>
      </c>
      <c r="C19" s="4"/>
      <c r="D19" s="4">
        <v>69257</v>
      </c>
      <c r="E19" s="4">
        <v>69257</v>
      </c>
      <c r="F19" s="798">
        <f t="shared" si="0"/>
        <v>1</v>
      </c>
      <c r="G19" s="12"/>
      <c r="H19" s="28"/>
      <c r="I19" s="452"/>
      <c r="J19" s="4"/>
      <c r="K19" s="795"/>
      <c r="L19" s="813"/>
    </row>
    <row r="20" spans="1:12" ht="12.75">
      <c r="A20" s="15"/>
      <c r="B20" s="29"/>
      <c r="C20" s="4"/>
      <c r="D20" s="4"/>
      <c r="E20" s="4"/>
      <c r="F20" s="797"/>
      <c r="G20" s="1333" t="s">
        <v>97</v>
      </c>
      <c r="H20" s="1334"/>
      <c r="I20" s="59">
        <v>134081</v>
      </c>
      <c r="J20" s="358">
        <v>98430</v>
      </c>
      <c r="K20" s="796">
        <v>39471</v>
      </c>
      <c r="L20" s="813">
        <f>K20/J20</f>
        <v>0.40100579091740324</v>
      </c>
    </row>
    <row r="21" spans="1:12" ht="12.75" customHeight="1">
      <c r="A21" s="40" t="s">
        <v>96</v>
      </c>
      <c r="B21" s="41"/>
      <c r="C21" s="357">
        <f>SUM(C22:C24)</f>
        <v>105021</v>
      </c>
      <c r="D21" s="357">
        <v>222795</v>
      </c>
      <c r="E21" s="357">
        <f>SUM(E22:E24)</f>
        <v>236884</v>
      </c>
      <c r="F21" s="797">
        <f t="shared" si="0"/>
        <v>1.0632375053300118</v>
      </c>
      <c r="G21" s="12"/>
      <c r="H21" s="37"/>
      <c r="I21" s="360"/>
      <c r="J21" s="4"/>
      <c r="K21" s="795"/>
      <c r="L21" s="813"/>
    </row>
    <row r="22" spans="1:12" ht="12.75">
      <c r="A22" s="42"/>
      <c r="B22" s="43" t="s">
        <v>4</v>
      </c>
      <c r="C22" s="356">
        <v>82410</v>
      </c>
      <c r="D22" s="356">
        <v>183585</v>
      </c>
      <c r="E22" s="356">
        <v>200004</v>
      </c>
      <c r="F22" s="798">
        <f t="shared" si="0"/>
        <v>1.0894354113898195</v>
      </c>
      <c r="G22" s="16" t="s">
        <v>98</v>
      </c>
      <c r="H22" s="29"/>
      <c r="I22" s="357">
        <f>SUM(I23:I25)</f>
        <v>159632</v>
      </c>
      <c r="J22" s="357">
        <f>SUM(J23:J25)</f>
        <v>3937</v>
      </c>
      <c r="K22" s="794">
        <f>SUM(K23:K25)</f>
        <v>0</v>
      </c>
      <c r="L22" s="813">
        <f>K22/J22</f>
        <v>0</v>
      </c>
    </row>
    <row r="23" spans="1:12" ht="12.75">
      <c r="A23" s="15"/>
      <c r="B23" s="34" t="s">
        <v>5</v>
      </c>
      <c r="C23" s="4">
        <v>22611</v>
      </c>
      <c r="D23" s="4">
        <v>13217</v>
      </c>
      <c r="E23" s="4">
        <v>10887</v>
      </c>
      <c r="F23" s="798">
        <f t="shared" si="0"/>
        <v>0.8237118862071574</v>
      </c>
      <c r="G23" s="15"/>
      <c r="H23" s="29" t="s">
        <v>51</v>
      </c>
      <c r="I23" s="4">
        <v>13000</v>
      </c>
      <c r="J23" s="4"/>
      <c r="K23" s="795"/>
      <c r="L23" s="813"/>
    </row>
    <row r="24" spans="1:12" ht="12.75">
      <c r="A24" s="15"/>
      <c r="B24" s="29" t="s">
        <v>237</v>
      </c>
      <c r="C24" s="29"/>
      <c r="D24" s="4">
        <v>25993</v>
      </c>
      <c r="E24" s="4">
        <v>25993</v>
      </c>
      <c r="F24" s="798">
        <f t="shared" si="0"/>
        <v>1</v>
      </c>
      <c r="G24" s="15"/>
      <c r="H24" s="29" t="s">
        <v>52</v>
      </c>
      <c r="I24" s="4">
        <v>100000</v>
      </c>
      <c r="J24" s="4">
        <v>370</v>
      </c>
      <c r="K24" s="795"/>
      <c r="L24" s="814">
        <f>K24/J24</f>
        <v>0</v>
      </c>
    </row>
    <row r="25" spans="1:12" ht="12.75">
      <c r="A25" s="15"/>
      <c r="B25" s="29"/>
      <c r="C25" s="29"/>
      <c r="D25" s="29"/>
      <c r="E25" s="29"/>
      <c r="F25" s="797"/>
      <c r="G25" s="15"/>
      <c r="H25" s="28" t="s">
        <v>53</v>
      </c>
      <c r="I25" s="453">
        <v>46632</v>
      </c>
      <c r="J25" s="4">
        <v>3567</v>
      </c>
      <c r="K25" s="795"/>
      <c r="L25" s="814">
        <f>K25/J25</f>
        <v>0</v>
      </c>
    </row>
    <row r="26" spans="1:12" ht="13.5" customHeight="1">
      <c r="A26" s="35" t="s">
        <v>99</v>
      </c>
      <c r="B26" s="30"/>
      <c r="C26" s="357">
        <f>SUM(C27:C34)</f>
        <v>450279</v>
      </c>
      <c r="D26" s="357">
        <f>SUM(D27:D34)</f>
        <v>88526</v>
      </c>
      <c r="E26" s="357">
        <f>SUM(E27:E34)</f>
        <v>102763</v>
      </c>
      <c r="F26" s="797">
        <f t="shared" si="0"/>
        <v>1.160822809118225</v>
      </c>
      <c r="G26" s="15"/>
      <c r="H26" s="28"/>
      <c r="I26" s="453"/>
      <c r="J26" s="4"/>
      <c r="K26" s="795"/>
      <c r="L26" s="813"/>
    </row>
    <row r="27" spans="1:12" ht="12.75">
      <c r="A27" s="15"/>
      <c r="B27" s="29" t="s">
        <v>7</v>
      </c>
      <c r="C27" s="4">
        <v>250</v>
      </c>
      <c r="D27" s="4">
        <v>4685</v>
      </c>
      <c r="E27" s="4">
        <v>4685</v>
      </c>
      <c r="F27" s="798">
        <f t="shared" si="0"/>
        <v>1</v>
      </c>
      <c r="G27" s="16" t="s">
        <v>102</v>
      </c>
      <c r="H27" s="46"/>
      <c r="I27" s="59">
        <f>SUM(I28:I30)</f>
        <v>2330302</v>
      </c>
      <c r="J27" s="360">
        <f>SUM(J28:J30)</f>
        <v>19319</v>
      </c>
      <c r="K27" s="806">
        <f>SUM(K28:K30)</f>
        <v>0</v>
      </c>
      <c r="L27" s="813">
        <f>K27/J27</f>
        <v>0</v>
      </c>
    </row>
    <row r="28" spans="1:12" ht="12.75" customHeight="1">
      <c r="A28" s="3"/>
      <c r="B28" s="44" t="s">
        <v>100</v>
      </c>
      <c r="C28" s="356">
        <v>277977</v>
      </c>
      <c r="D28" s="356">
        <v>4977</v>
      </c>
      <c r="E28" s="356">
        <v>8618</v>
      </c>
      <c r="F28" s="798">
        <f t="shared" si="0"/>
        <v>1.7315651999196302</v>
      </c>
      <c r="G28" s="15"/>
      <c r="H28" s="29" t="s">
        <v>102</v>
      </c>
      <c r="I28" s="4">
        <v>50000</v>
      </c>
      <c r="J28" s="4">
        <v>13189</v>
      </c>
      <c r="K28" s="795"/>
      <c r="L28" s="814">
        <f>K28/J28</f>
        <v>0</v>
      </c>
    </row>
    <row r="29" spans="1:12" ht="12.75" customHeight="1">
      <c r="A29" s="15"/>
      <c r="B29" s="45" t="s">
        <v>101</v>
      </c>
      <c r="C29" s="4">
        <v>162972</v>
      </c>
      <c r="D29" s="4">
        <v>42472</v>
      </c>
      <c r="E29" s="4">
        <v>42400</v>
      </c>
      <c r="F29" s="798">
        <f t="shared" si="0"/>
        <v>0.9983047654925598</v>
      </c>
      <c r="G29" s="15"/>
      <c r="H29" s="29" t="s">
        <v>760</v>
      </c>
      <c r="I29" s="4"/>
      <c r="J29" s="4">
        <v>6130</v>
      </c>
      <c r="K29" s="795"/>
      <c r="L29" s="814">
        <f>K29/J29</f>
        <v>0</v>
      </c>
    </row>
    <row r="30" spans="1:12" ht="12.75" customHeight="1">
      <c r="A30" s="12"/>
      <c r="B30" s="44" t="s">
        <v>10</v>
      </c>
      <c r="C30" s="4">
        <v>7080</v>
      </c>
      <c r="D30" s="4">
        <v>13080</v>
      </c>
      <c r="E30" s="4">
        <v>13430</v>
      </c>
      <c r="F30" s="798">
        <f t="shared" si="0"/>
        <v>1.0267584097859328</v>
      </c>
      <c r="G30" s="15"/>
      <c r="H30" s="29" t="s">
        <v>55</v>
      </c>
      <c r="I30" s="4">
        <v>2280302</v>
      </c>
      <c r="J30" s="4"/>
      <c r="K30" s="795"/>
      <c r="L30" s="813"/>
    </row>
    <row r="31" spans="1:12" ht="12.75" customHeight="1">
      <c r="A31" s="12"/>
      <c r="B31" s="29" t="s">
        <v>103</v>
      </c>
      <c r="C31" s="4">
        <v>2000</v>
      </c>
      <c r="D31" s="4">
        <v>21600</v>
      </c>
      <c r="E31" s="4">
        <v>21603</v>
      </c>
      <c r="F31" s="798">
        <f t="shared" si="0"/>
        <v>1.000138888888889</v>
      </c>
      <c r="G31" s="15"/>
      <c r="H31" s="29"/>
      <c r="I31" s="4"/>
      <c r="J31" s="4"/>
      <c r="K31" s="795"/>
      <c r="L31" s="813"/>
    </row>
    <row r="32" spans="1:12" ht="12.75" customHeight="1">
      <c r="A32" s="15"/>
      <c r="B32" s="29" t="s">
        <v>743</v>
      </c>
      <c r="C32" s="4"/>
      <c r="D32" s="4">
        <v>1712</v>
      </c>
      <c r="E32" s="4">
        <v>1722</v>
      </c>
      <c r="F32" s="798">
        <f t="shared" si="0"/>
        <v>1.0058411214953271</v>
      </c>
      <c r="G32" s="16" t="s">
        <v>66</v>
      </c>
      <c r="H32" s="29"/>
      <c r="I32" s="357">
        <f>30246-2200</f>
        <v>28046</v>
      </c>
      <c r="J32" s="358">
        <v>28046</v>
      </c>
      <c r="K32" s="796">
        <v>22988</v>
      </c>
      <c r="L32" s="813">
        <f>K32/J32</f>
        <v>0.8196534265135849</v>
      </c>
    </row>
    <row r="33" spans="1:12" ht="12.75" customHeight="1">
      <c r="A33" s="15"/>
      <c r="B33" s="29" t="s">
        <v>284</v>
      </c>
      <c r="C33" s="4"/>
      <c r="D33" s="4"/>
      <c r="E33" s="4">
        <v>7871</v>
      </c>
      <c r="F33" s="798"/>
      <c r="G33" s="16"/>
      <c r="H33" s="29"/>
      <c r="I33" s="357"/>
      <c r="J33" s="4"/>
      <c r="K33" s="796"/>
      <c r="L33" s="813"/>
    </row>
    <row r="34" spans="1:12" ht="12.75" customHeight="1">
      <c r="A34" s="15"/>
      <c r="B34" s="29" t="s">
        <v>29</v>
      </c>
      <c r="C34" s="4"/>
      <c r="D34" s="4"/>
      <c r="E34" s="4">
        <v>2434</v>
      </c>
      <c r="F34" s="797"/>
      <c r="G34" s="16" t="s">
        <v>104</v>
      </c>
      <c r="H34" s="28"/>
      <c r="I34" s="59">
        <f>SUM(I35:I36)</f>
        <v>10100</v>
      </c>
      <c r="J34" s="59">
        <f>SUM(J35:J36)</f>
        <v>241545</v>
      </c>
      <c r="K34" s="805">
        <f>SUM(K35:K36)</f>
        <v>148416</v>
      </c>
      <c r="L34" s="813">
        <f>K34/J34</f>
        <v>0.6144445134446997</v>
      </c>
    </row>
    <row r="35" spans="1:12" ht="12.75" customHeight="1">
      <c r="A35" s="15"/>
      <c r="B35" s="29"/>
      <c r="C35" s="4"/>
      <c r="D35" s="4"/>
      <c r="E35" s="4"/>
      <c r="F35" s="797"/>
      <c r="G35" s="15"/>
      <c r="H35" s="28" t="s">
        <v>105</v>
      </c>
      <c r="I35" s="356">
        <v>5300</v>
      </c>
      <c r="J35" s="4">
        <v>1900</v>
      </c>
      <c r="K35" s="795">
        <v>1200</v>
      </c>
      <c r="L35" s="814">
        <f>K35/J35</f>
        <v>0.631578947368421</v>
      </c>
    </row>
    <row r="36" spans="1:12" ht="12.75">
      <c r="A36" s="40" t="s">
        <v>13</v>
      </c>
      <c r="B36" s="41"/>
      <c r="C36" s="358">
        <f>SUM(C37:C38)</f>
        <v>3256122</v>
      </c>
      <c r="D36" s="358">
        <v>463234</v>
      </c>
      <c r="E36" s="358">
        <f>SUM(E37:E38)</f>
        <v>405757</v>
      </c>
      <c r="F36" s="797">
        <f t="shared" si="0"/>
        <v>0.8759223200369576</v>
      </c>
      <c r="G36" s="15"/>
      <c r="H36" s="28" t="s">
        <v>63</v>
      </c>
      <c r="I36" s="356">
        <v>4800</v>
      </c>
      <c r="J36" s="4">
        <v>239645</v>
      </c>
      <c r="K36" s="795">
        <v>147216</v>
      </c>
      <c r="L36" s="814">
        <f>K36/J36</f>
        <v>0.6143086649001648</v>
      </c>
    </row>
    <row r="37" spans="1:12" ht="12.75" customHeight="1">
      <c r="A37" s="16"/>
      <c r="B37" s="28" t="s">
        <v>565</v>
      </c>
      <c r="C37" s="356">
        <v>0</v>
      </c>
      <c r="D37" s="356">
        <v>5379</v>
      </c>
      <c r="E37" s="356">
        <v>5379</v>
      </c>
      <c r="F37" s="798">
        <f t="shared" si="0"/>
        <v>1</v>
      </c>
      <c r="G37" s="15"/>
      <c r="H37" s="29"/>
      <c r="I37" s="29"/>
      <c r="J37" s="29"/>
      <c r="K37" s="807"/>
      <c r="L37" s="813"/>
    </row>
    <row r="38" spans="1:12" ht="12.75" customHeight="1">
      <c r="A38" s="3"/>
      <c r="B38" s="34" t="s">
        <v>15</v>
      </c>
      <c r="C38" s="356">
        <f>SUM(C39,C41,C43)</f>
        <v>3256122</v>
      </c>
      <c r="D38" s="356">
        <v>457855</v>
      </c>
      <c r="E38" s="356">
        <f>SUM(E39,E41,E43)</f>
        <v>400378</v>
      </c>
      <c r="F38" s="798">
        <f t="shared" si="0"/>
        <v>0.8744646230793592</v>
      </c>
      <c r="G38" s="15"/>
      <c r="H38" s="29"/>
      <c r="I38" s="29"/>
      <c r="J38" s="29"/>
      <c r="K38" s="807"/>
      <c r="L38" s="813"/>
    </row>
    <row r="39" spans="1:12" ht="12.75" customHeight="1">
      <c r="A39" s="3"/>
      <c r="B39" s="47" t="s">
        <v>16</v>
      </c>
      <c r="C39" s="359">
        <v>1537265</v>
      </c>
      <c r="D39" s="359">
        <v>452805</v>
      </c>
      <c r="E39" s="359">
        <v>395116</v>
      </c>
      <c r="F39" s="798">
        <f t="shared" si="0"/>
        <v>0.8725963715064984</v>
      </c>
      <c r="G39" s="15"/>
      <c r="H39" s="28"/>
      <c r="I39" s="356"/>
      <c r="J39" s="4"/>
      <c r="K39" s="795"/>
      <c r="L39" s="813"/>
    </row>
    <row r="40" spans="1:12" ht="12.75" customHeight="1">
      <c r="A40" s="3"/>
      <c r="B40" s="47" t="s">
        <v>106</v>
      </c>
      <c r="C40" s="359">
        <v>11084</v>
      </c>
      <c r="D40" s="359">
        <v>11084</v>
      </c>
      <c r="E40" s="359">
        <v>4746</v>
      </c>
      <c r="F40" s="798">
        <f t="shared" si="0"/>
        <v>0.42818477084085166</v>
      </c>
      <c r="G40" s="15"/>
      <c r="H40" s="28"/>
      <c r="I40" s="356"/>
      <c r="J40" s="4"/>
      <c r="K40" s="795"/>
      <c r="L40" s="813"/>
    </row>
    <row r="41" spans="1:12" ht="12.75" customHeight="1">
      <c r="A41" s="3"/>
      <c r="B41" s="48" t="s">
        <v>17</v>
      </c>
      <c r="C41" s="359">
        <f>1591726+127081</f>
        <v>1718807</v>
      </c>
      <c r="D41" s="359">
        <v>0</v>
      </c>
      <c r="E41" s="359"/>
      <c r="F41" s="797"/>
      <c r="G41" s="15"/>
      <c r="H41" s="28"/>
      <c r="I41" s="356"/>
      <c r="J41" s="4"/>
      <c r="K41" s="807"/>
      <c r="L41" s="813"/>
    </row>
    <row r="42" spans="1:12" ht="13.5" customHeight="1">
      <c r="A42" s="3"/>
      <c r="B42" s="48" t="s">
        <v>106</v>
      </c>
      <c r="C42" s="359">
        <v>329362</v>
      </c>
      <c r="D42" s="359">
        <v>0</v>
      </c>
      <c r="E42" s="359"/>
      <c r="F42" s="797"/>
      <c r="G42" s="42"/>
      <c r="H42" s="429"/>
      <c r="I42" s="356"/>
      <c r="J42" s="358"/>
      <c r="K42" s="808"/>
      <c r="L42" s="813"/>
    </row>
    <row r="43" spans="1:12" ht="12.75" customHeight="1">
      <c r="A43" s="3"/>
      <c r="B43" s="47" t="s">
        <v>107</v>
      </c>
      <c r="C43" s="359">
        <v>50</v>
      </c>
      <c r="D43" s="359">
        <v>5050</v>
      </c>
      <c r="E43" s="359">
        <v>5262</v>
      </c>
      <c r="F43" s="798">
        <f t="shared" si="0"/>
        <v>1.041980198019802</v>
      </c>
      <c r="G43" s="15"/>
      <c r="H43" s="29"/>
      <c r="I43" s="29"/>
      <c r="J43" s="4"/>
      <c r="K43" s="807"/>
      <c r="L43" s="813"/>
    </row>
    <row r="44" spans="1:12" ht="12.75" customHeight="1">
      <c r="A44" s="3"/>
      <c r="B44" s="47"/>
      <c r="C44" s="359"/>
      <c r="D44" s="359"/>
      <c r="E44" s="359"/>
      <c r="F44" s="797"/>
      <c r="G44" s="15"/>
      <c r="H44" s="29"/>
      <c r="I44" s="29"/>
      <c r="J44" s="4"/>
      <c r="K44" s="807"/>
      <c r="L44" s="813"/>
    </row>
    <row r="45" spans="1:12" ht="12.75" customHeight="1">
      <c r="A45" s="1331" t="s">
        <v>773</v>
      </c>
      <c r="B45" s="1332"/>
      <c r="C45" s="359"/>
      <c r="D45" s="358">
        <v>47464</v>
      </c>
      <c r="E45" s="358">
        <v>47464</v>
      </c>
      <c r="F45" s="797">
        <f t="shared" si="0"/>
        <v>1</v>
      </c>
      <c r="G45" s="1331" t="s">
        <v>775</v>
      </c>
      <c r="H45" s="1332"/>
      <c r="I45" s="356"/>
      <c r="J45" s="358">
        <v>17778</v>
      </c>
      <c r="K45" s="808">
        <v>35503</v>
      </c>
      <c r="L45" s="813">
        <f>K45/J45</f>
        <v>1.9970187872651592</v>
      </c>
    </row>
    <row r="46" spans="1:12" ht="12.75" customHeight="1">
      <c r="A46" s="15"/>
      <c r="B46" s="29"/>
      <c r="C46" s="29"/>
      <c r="D46" s="29"/>
      <c r="E46" s="29"/>
      <c r="F46" s="797"/>
      <c r="G46" s="15"/>
      <c r="H46" s="29"/>
      <c r="I46" s="29"/>
      <c r="J46" s="4"/>
      <c r="K46" s="807"/>
      <c r="L46" s="813"/>
    </row>
    <row r="47" spans="1:12" ht="12.75" customHeight="1">
      <c r="A47" s="35" t="s">
        <v>19</v>
      </c>
      <c r="B47" s="44"/>
      <c r="C47" s="357">
        <v>109449</v>
      </c>
      <c r="D47" s="357">
        <v>27931</v>
      </c>
      <c r="E47" s="357">
        <v>28325</v>
      </c>
      <c r="F47" s="797">
        <f t="shared" si="0"/>
        <v>1.0141061902545558</v>
      </c>
      <c r="G47" s="15"/>
      <c r="H47" s="29"/>
      <c r="I47" s="29"/>
      <c r="J47" s="4"/>
      <c r="K47" s="807"/>
      <c r="L47" s="813"/>
    </row>
    <row r="48" spans="1:12" ht="12.75" customHeight="1">
      <c r="A48" s="35"/>
      <c r="B48" s="44"/>
      <c r="C48" s="357"/>
      <c r="D48" s="357"/>
      <c r="E48" s="357"/>
      <c r="F48" s="797"/>
      <c r="G48" s="15"/>
      <c r="H48" s="29"/>
      <c r="I48" s="29"/>
      <c r="J48" s="4"/>
      <c r="K48" s="807"/>
      <c r="L48" s="813"/>
    </row>
    <row r="49" spans="1:12" ht="12.75" customHeight="1">
      <c r="A49" s="1335" t="s">
        <v>30</v>
      </c>
      <c r="B49" s="1336"/>
      <c r="C49" s="357"/>
      <c r="D49" s="357"/>
      <c r="E49" s="357">
        <v>8287</v>
      </c>
      <c r="F49" s="797"/>
      <c r="G49" s="15"/>
      <c r="H49" s="29"/>
      <c r="I49" s="29"/>
      <c r="J49" s="4"/>
      <c r="K49" s="807"/>
      <c r="L49" s="813"/>
    </row>
    <row r="50" spans="1:12" ht="12.75" customHeight="1">
      <c r="A50" s="15"/>
      <c r="B50" s="29"/>
      <c r="C50" s="29"/>
      <c r="D50" s="29"/>
      <c r="E50" s="29"/>
      <c r="F50" s="797"/>
      <c r="G50" s="15"/>
      <c r="H50" s="29"/>
      <c r="I50" s="4"/>
      <c r="J50" s="4"/>
      <c r="K50" s="807"/>
      <c r="L50" s="813"/>
    </row>
    <row r="51" spans="1:12" s="17" customFormat="1" ht="12.75" customHeight="1">
      <c r="A51" s="16" t="s">
        <v>20</v>
      </c>
      <c r="B51" s="30"/>
      <c r="C51" s="357">
        <v>1507660</v>
      </c>
      <c r="D51" s="357">
        <v>1538241</v>
      </c>
      <c r="E51" s="357">
        <v>1484838</v>
      </c>
      <c r="F51" s="797">
        <f t="shared" si="0"/>
        <v>0.9652830733285617</v>
      </c>
      <c r="G51" s="16" t="s">
        <v>108</v>
      </c>
      <c r="H51" s="30"/>
      <c r="I51" s="357">
        <v>1507660</v>
      </c>
      <c r="J51" s="357">
        <v>1538241</v>
      </c>
      <c r="K51" s="809">
        <v>1484838</v>
      </c>
      <c r="L51" s="813">
        <f>K51/J51</f>
        <v>0.9652830733285617</v>
      </c>
    </row>
    <row r="52" spans="1:12" ht="12.75" customHeight="1">
      <c r="A52" s="15"/>
      <c r="B52" s="29"/>
      <c r="C52" s="29"/>
      <c r="D52" s="29"/>
      <c r="E52" s="29"/>
      <c r="F52" s="797"/>
      <c r="G52" s="15"/>
      <c r="H52" s="29"/>
      <c r="I52" s="4"/>
      <c r="J52" s="4"/>
      <c r="K52" s="807"/>
      <c r="L52" s="813"/>
    </row>
    <row r="53" spans="1:12" ht="12.75" customHeight="1">
      <c r="A53" s="49" t="s">
        <v>109</v>
      </c>
      <c r="B53" s="50"/>
      <c r="C53" s="358">
        <f>SUM(C6+C8+C16+C21+C26+C36+C45+C47+C49+C51)</f>
        <v>8329489</v>
      </c>
      <c r="D53" s="358">
        <f>SUM(D6+D8+D16+D21+D26+D36+D45+D47+D49+D51)</f>
        <v>5677429</v>
      </c>
      <c r="E53" s="358">
        <f>SUM(E6+E8+E16+E21+E26+E36+E45+E47+E49+E51)</f>
        <v>5594475</v>
      </c>
      <c r="F53" s="797">
        <f t="shared" si="0"/>
        <v>0.9853888089133304</v>
      </c>
      <c r="G53" s="51" t="s">
        <v>110</v>
      </c>
      <c r="H53" s="52"/>
      <c r="I53" s="360">
        <f>SUM(I6+I8+I10+I12+I16+I18+I20+I22+I27+I32+I34+I45+I51)</f>
        <v>9422537</v>
      </c>
      <c r="J53" s="360">
        <f>SUM(J6+J8+J10+J12+J16+J18+J20+J22+J27+J32+J34+J45+J51)</f>
        <v>6404137</v>
      </c>
      <c r="K53" s="810">
        <f>SUM(K6+K8+K10+K12+K16+K18+K20+K22+K27+K32+K34+K45+K51)</f>
        <v>5787124</v>
      </c>
      <c r="L53" s="813">
        <f>K53/J53</f>
        <v>0.9036539974082378</v>
      </c>
    </row>
    <row r="54" spans="1:12" ht="12.75" customHeight="1">
      <c r="A54" s="15"/>
      <c r="B54" s="29"/>
      <c r="C54" s="29"/>
      <c r="D54" s="29"/>
      <c r="E54" s="29"/>
      <c r="F54" s="797"/>
      <c r="G54" s="15"/>
      <c r="H54" s="52"/>
      <c r="I54" s="454"/>
      <c r="J54" s="4"/>
      <c r="K54" s="807"/>
      <c r="L54" s="813"/>
    </row>
    <row r="55" spans="1:12" ht="12.75" customHeight="1">
      <c r="A55" s="53" t="s">
        <v>111</v>
      </c>
      <c r="B55" s="41"/>
      <c r="C55" s="357">
        <f>C53-I53</f>
        <v>-1093048</v>
      </c>
      <c r="D55" s="357">
        <f>D53-J53</f>
        <v>-726708</v>
      </c>
      <c r="E55" s="357">
        <f>E53-K53</f>
        <v>-192649</v>
      </c>
      <c r="F55" s="797">
        <f t="shared" si="0"/>
        <v>0.265098223770758</v>
      </c>
      <c r="G55" s="16"/>
      <c r="H55" s="52"/>
      <c r="I55" s="454"/>
      <c r="J55" s="4"/>
      <c r="K55" s="807"/>
      <c r="L55" s="813"/>
    </row>
    <row r="56" spans="1:12" ht="12.75" customHeight="1">
      <c r="A56" s="53"/>
      <c r="B56" s="41"/>
      <c r="C56" s="357"/>
      <c r="D56" s="357"/>
      <c r="E56" s="357"/>
      <c r="F56" s="797"/>
      <c r="G56" s="16"/>
      <c r="H56" s="52"/>
      <c r="I56" s="454"/>
      <c r="J56" s="4"/>
      <c r="K56" s="807"/>
      <c r="L56" s="813"/>
    </row>
    <row r="57" spans="1:12" ht="12" customHeight="1">
      <c r="A57" s="54" t="s">
        <v>112</v>
      </c>
      <c r="B57" s="55"/>
      <c r="C57" s="4"/>
      <c r="D57" s="4"/>
      <c r="E57" s="4"/>
      <c r="F57" s="797"/>
      <c r="G57" s="15" t="s">
        <v>113</v>
      </c>
      <c r="H57" s="37"/>
      <c r="I57" s="356">
        <v>123539</v>
      </c>
      <c r="J57" s="4">
        <v>98579</v>
      </c>
      <c r="K57" s="807">
        <v>98516</v>
      </c>
      <c r="L57" s="814">
        <f>K57/J57</f>
        <v>0.9993609186540744</v>
      </c>
    </row>
    <row r="58" spans="1:12" ht="12.75" customHeight="1">
      <c r="A58" s="18" t="s">
        <v>114</v>
      </c>
      <c r="B58" s="56"/>
      <c r="C58" s="359">
        <v>501869</v>
      </c>
      <c r="D58" s="359">
        <v>825287</v>
      </c>
      <c r="E58" s="359">
        <v>834949</v>
      </c>
      <c r="F58" s="798">
        <f t="shared" si="0"/>
        <v>1.0117074423806507</v>
      </c>
      <c r="G58" s="15"/>
      <c r="H58" s="29"/>
      <c r="I58" s="356"/>
      <c r="J58" s="4"/>
      <c r="K58" s="807"/>
      <c r="L58" s="813"/>
    </row>
    <row r="59" spans="1:12" ht="12.75" customHeight="1">
      <c r="A59" s="1329" t="s">
        <v>115</v>
      </c>
      <c r="B59" s="1330"/>
      <c r="C59" s="359">
        <v>714718</v>
      </c>
      <c r="D59" s="359"/>
      <c r="E59" s="359"/>
      <c r="F59" s="797"/>
      <c r="G59" s="51"/>
      <c r="H59" s="37"/>
      <c r="I59" s="59"/>
      <c r="J59" s="4"/>
      <c r="K59" s="807"/>
      <c r="L59" s="813"/>
    </row>
    <row r="60" spans="1:12" ht="12.75" customHeight="1">
      <c r="A60" s="1326"/>
      <c r="B60" s="1327"/>
      <c r="C60" s="359"/>
      <c r="D60" s="359"/>
      <c r="E60" s="359"/>
      <c r="F60" s="797"/>
      <c r="G60" s="51"/>
      <c r="H60" s="37"/>
      <c r="I60" s="59"/>
      <c r="J60" s="4"/>
      <c r="K60" s="807"/>
      <c r="L60" s="813"/>
    </row>
    <row r="61" spans="1:12" ht="12.75" customHeight="1">
      <c r="A61" s="1315" t="s">
        <v>116</v>
      </c>
      <c r="B61" s="1316"/>
      <c r="C61" s="357">
        <f>SUM(C58:C59)</f>
        <v>1216587</v>
      </c>
      <c r="D61" s="357">
        <f>SUM(D58:D59)</f>
        <v>825287</v>
      </c>
      <c r="E61" s="357">
        <f>SUM(E58:E59)</f>
        <v>834949</v>
      </c>
      <c r="F61" s="797">
        <f t="shared" si="0"/>
        <v>1.0117074423806507</v>
      </c>
      <c r="G61" s="12" t="s">
        <v>117</v>
      </c>
      <c r="H61" s="59"/>
      <c r="I61" s="357">
        <f>SUM(I57:I60)</f>
        <v>123539</v>
      </c>
      <c r="J61" s="357">
        <f>SUM(J57:J60)</f>
        <v>98579</v>
      </c>
      <c r="K61" s="809">
        <f>SUM(K57:K60)</f>
        <v>98516</v>
      </c>
      <c r="L61" s="813">
        <f>K61/J61</f>
        <v>0.9993609186540744</v>
      </c>
    </row>
    <row r="62" spans="1:12" ht="12.75" customHeight="1">
      <c r="A62" s="57"/>
      <c r="B62" s="58"/>
      <c r="C62" s="4"/>
      <c r="D62" s="4"/>
      <c r="E62" s="4"/>
      <c r="F62" s="797"/>
      <c r="G62" s="51"/>
      <c r="H62" s="37"/>
      <c r="I62" s="59"/>
      <c r="J62" s="4"/>
      <c r="K62" s="807"/>
      <c r="L62" s="813"/>
    </row>
    <row r="63" spans="1:12" ht="12.75" customHeight="1">
      <c r="A63" s="1313" t="s">
        <v>31</v>
      </c>
      <c r="B63" s="1314"/>
      <c r="C63" s="4"/>
      <c r="D63" s="4"/>
      <c r="E63" s="357">
        <v>20718</v>
      </c>
      <c r="F63" s="797"/>
      <c r="G63" s="1313" t="s">
        <v>32</v>
      </c>
      <c r="H63" s="1314"/>
      <c r="I63" s="59"/>
      <c r="J63" s="4"/>
      <c r="K63" s="809">
        <v>36881</v>
      </c>
      <c r="L63" s="813"/>
    </row>
    <row r="64" spans="1:12" ht="12.75" customHeight="1">
      <c r="A64" s="57"/>
      <c r="B64" s="58"/>
      <c r="C64" s="4"/>
      <c r="D64" s="4"/>
      <c r="E64" s="4"/>
      <c r="F64" s="797"/>
      <c r="G64" s="51"/>
      <c r="H64" s="37"/>
      <c r="I64" s="59"/>
      <c r="J64" s="4"/>
      <c r="K64" s="807"/>
      <c r="L64" s="813"/>
    </row>
    <row r="65" spans="1:12" ht="12.75" customHeight="1" thickBot="1">
      <c r="A65" s="60" t="s">
        <v>23</v>
      </c>
      <c r="B65" s="61"/>
      <c r="C65" s="515">
        <f>SUM(C53+C61+C63)</f>
        <v>9546076</v>
      </c>
      <c r="D65" s="515">
        <f>SUM(D53+D61+D63)</f>
        <v>6502716</v>
      </c>
      <c r="E65" s="515">
        <f>SUM(E53+E61+E63)</f>
        <v>6450142</v>
      </c>
      <c r="F65" s="799">
        <f t="shared" si="0"/>
        <v>0.9919150705643611</v>
      </c>
      <c r="G65" s="62" t="s">
        <v>78</v>
      </c>
      <c r="H65" s="63"/>
      <c r="I65" s="455">
        <f>SUM(I53+I61+I63)</f>
        <v>9546076</v>
      </c>
      <c r="J65" s="455">
        <f>SUM(J53+J61+J63)</f>
        <v>6502716</v>
      </c>
      <c r="K65" s="811">
        <f>SUM(K53+K61+K63)</f>
        <v>5922521</v>
      </c>
      <c r="L65" s="799">
        <f>K65/J65</f>
        <v>0.910776512460332</v>
      </c>
    </row>
    <row r="66" spans="1:12" ht="12.75" customHeight="1">
      <c r="A66" s="1317"/>
      <c r="B66" s="1318"/>
      <c r="C66" s="792"/>
      <c r="D66" s="792"/>
      <c r="E66" s="792"/>
      <c r="F66" s="800"/>
      <c r="G66" s="13"/>
      <c r="H66" s="787"/>
      <c r="I66" s="787"/>
      <c r="J66" s="793"/>
      <c r="K66" s="801"/>
      <c r="L66" s="790"/>
    </row>
    <row r="67" spans="1:12" ht="12.75" customHeight="1">
      <c r="A67" s="786"/>
      <c r="B67" s="787"/>
      <c r="C67" s="787"/>
      <c r="D67" s="787"/>
      <c r="E67" s="787"/>
      <c r="F67" s="787"/>
      <c r="G67" s="1311" t="s">
        <v>34</v>
      </c>
      <c r="H67" s="1311"/>
      <c r="I67" s="780"/>
      <c r="J67" s="779"/>
      <c r="K67" s="793"/>
      <c r="L67" s="790"/>
    </row>
    <row r="68" spans="1:12" ht="12.75" customHeight="1">
      <c r="A68" s="786"/>
      <c r="B68" s="787"/>
      <c r="C68" s="787"/>
      <c r="D68" s="787"/>
      <c r="E68" s="787"/>
      <c r="F68" s="787"/>
      <c r="G68" s="781"/>
      <c r="H68" s="779" t="s">
        <v>36</v>
      </c>
      <c r="I68" s="780">
        <v>818601</v>
      </c>
      <c r="J68" s="779" t="s">
        <v>35</v>
      </c>
      <c r="K68" s="793"/>
      <c r="L68" s="790"/>
    </row>
    <row r="69" spans="1:12" ht="12.75" customHeight="1">
      <c r="A69" s="786"/>
      <c r="B69" s="787"/>
      <c r="C69" s="787"/>
      <c r="D69" s="787"/>
      <c r="E69" s="787"/>
      <c r="F69" s="787"/>
      <c r="G69" s="781"/>
      <c r="H69" s="782" t="s">
        <v>37</v>
      </c>
      <c r="I69" s="815">
        <v>6450142</v>
      </c>
      <c r="J69" s="783" t="s">
        <v>35</v>
      </c>
      <c r="K69" s="793"/>
      <c r="L69" s="790"/>
    </row>
    <row r="70" spans="1:12" ht="12.75" customHeight="1">
      <c r="A70" s="786"/>
      <c r="B70" s="787"/>
      <c r="C70" s="787"/>
      <c r="D70" s="787"/>
      <c r="E70" s="787"/>
      <c r="F70" s="787"/>
      <c r="G70" s="781"/>
      <c r="H70" s="782" t="s">
        <v>38</v>
      </c>
      <c r="I70" s="815">
        <v>5922521</v>
      </c>
      <c r="J70" s="783" t="s">
        <v>35</v>
      </c>
      <c r="K70" s="793"/>
      <c r="L70" s="790"/>
    </row>
    <row r="71" spans="1:12" ht="12.75" customHeight="1">
      <c r="A71" s="786"/>
      <c r="B71" s="787"/>
      <c r="C71" s="787"/>
      <c r="D71" s="787"/>
      <c r="E71" s="787"/>
      <c r="F71" s="787"/>
      <c r="G71" s="781"/>
      <c r="H71" s="782" t="s">
        <v>39</v>
      </c>
      <c r="I71" s="815">
        <v>-834949</v>
      </c>
      <c r="J71" s="783" t="s">
        <v>35</v>
      </c>
      <c r="K71" s="793"/>
      <c r="L71" s="790"/>
    </row>
    <row r="72" spans="1:12" ht="12.75" customHeight="1" thickBot="1">
      <c r="A72" s="788"/>
      <c r="B72" s="789"/>
      <c r="C72" s="789"/>
      <c r="D72" s="789"/>
      <c r="E72" s="789"/>
      <c r="F72" s="789"/>
      <c r="G72" s="1312" t="s">
        <v>40</v>
      </c>
      <c r="H72" s="1312"/>
      <c r="I72" s="784">
        <f>SUM(I68+I69-I70+I71)</f>
        <v>511273</v>
      </c>
      <c r="J72" s="785" t="s">
        <v>35</v>
      </c>
      <c r="K72" s="802"/>
      <c r="L72" s="791"/>
    </row>
    <row r="73" spans="1:10" ht="15" customHeight="1">
      <c r="A73" s="14"/>
      <c r="B73" s="13"/>
      <c r="C73" s="65"/>
      <c r="D73" s="65"/>
      <c r="E73" s="65"/>
      <c r="F73" s="65"/>
      <c r="J73" s="64"/>
    </row>
    <row r="74" ht="15" customHeight="1">
      <c r="J74" s="64"/>
    </row>
    <row r="75" ht="12.75" customHeight="1">
      <c r="J75" s="64"/>
    </row>
  </sheetData>
  <sheetProtection/>
  <mergeCells count="15">
    <mergeCell ref="A4:F4"/>
    <mergeCell ref="G4:L4"/>
    <mergeCell ref="A60:B60"/>
    <mergeCell ref="A2:K2"/>
    <mergeCell ref="A59:B59"/>
    <mergeCell ref="A45:B45"/>
    <mergeCell ref="G20:H20"/>
    <mergeCell ref="G45:H45"/>
    <mergeCell ref="A49:B49"/>
    <mergeCell ref="G67:H67"/>
    <mergeCell ref="G72:H72"/>
    <mergeCell ref="A63:B63"/>
    <mergeCell ref="A61:B61"/>
    <mergeCell ref="G63:H63"/>
    <mergeCell ref="A66:B66"/>
  </mergeCells>
  <printOptions horizontalCentered="1"/>
  <pageMargins left="0" right="0" top="0.46" bottom="0.37" header="0.24" footer="0"/>
  <pageSetup horizontalDpi="600" verticalDpi="600" orientation="landscape" paperSize="9" scale="58" r:id="rId1"/>
  <headerFooter alignWithMargins="0">
    <oddHeader>&amp;L 1. melléklet a 8/2014.(V.5.)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view="pageLayout" zoomScaleSheetLayoutView="100" workbookViewId="0" topLeftCell="A1">
      <selection activeCell="B3" sqref="B3"/>
    </sheetView>
  </sheetViews>
  <sheetFormatPr defaultColWidth="9.00390625" defaultRowHeight="12.75"/>
  <cols>
    <col min="1" max="1" width="17.875" style="314" customWidth="1"/>
    <col min="2" max="2" width="11.75390625" style="314" customWidth="1"/>
    <col min="3" max="3" width="9.00390625" style="314" customWidth="1"/>
    <col min="4" max="4" width="10.25390625" style="314" customWidth="1"/>
    <col min="5" max="5" width="7.625" style="314" customWidth="1"/>
    <col min="6" max="6" width="11.25390625" style="314" customWidth="1"/>
    <col min="7" max="7" width="9.75390625" style="314" customWidth="1"/>
    <col min="8" max="8" width="11.75390625" style="314" customWidth="1"/>
    <col min="9" max="9" width="7.625" style="314" customWidth="1"/>
    <col min="10" max="10" width="8.875" style="314" customWidth="1"/>
    <col min="11" max="11" width="12.75390625" style="314" customWidth="1"/>
    <col min="12" max="12" width="8.125" style="314" customWidth="1"/>
    <col min="13" max="13" width="6.875" style="314" customWidth="1"/>
    <col min="14" max="15" width="13.75390625" style="314" customWidth="1"/>
    <col min="16" max="17" width="9.125" style="314" hidden="1" customWidth="1"/>
    <col min="18" max="16384" width="9.125" style="314" customWidth="1"/>
  </cols>
  <sheetData>
    <row r="1" spans="1:15" ht="12.75">
      <c r="A1" s="1440"/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1440"/>
      <c r="N1" s="1440"/>
      <c r="O1" s="1440"/>
    </row>
    <row r="2" spans="1:15" ht="12.75">
      <c r="A2" s="1440" t="s">
        <v>199</v>
      </c>
      <c r="B2" s="1440"/>
      <c r="C2" s="1440"/>
      <c r="D2" s="1440"/>
      <c r="E2" s="1440"/>
      <c r="F2" s="1440"/>
      <c r="G2" s="1440"/>
      <c r="H2" s="1440"/>
      <c r="I2" s="1440"/>
      <c r="J2" s="1440"/>
      <c r="K2" s="1440"/>
      <c r="L2" s="1440"/>
      <c r="M2" s="1440"/>
      <c r="N2" s="1440"/>
      <c r="O2" s="1440"/>
    </row>
    <row r="3" spans="1:15" ht="13.5" thickBo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12.75" customHeight="1">
      <c r="A4" s="1441" t="s">
        <v>200</v>
      </c>
      <c r="B4" s="1442"/>
      <c r="C4" s="1445" t="s">
        <v>120</v>
      </c>
      <c r="D4" s="1447" t="s">
        <v>201</v>
      </c>
      <c r="E4" s="1448"/>
      <c r="F4" s="1445" t="s">
        <v>171</v>
      </c>
      <c r="G4" s="1447" t="s">
        <v>172</v>
      </c>
      <c r="H4" s="1448"/>
      <c r="I4" s="1447" t="s">
        <v>173</v>
      </c>
      <c r="J4" s="1448"/>
      <c r="K4" s="1445" t="s">
        <v>174</v>
      </c>
      <c r="L4" s="1447" t="s">
        <v>175</v>
      </c>
      <c r="M4" s="1448"/>
      <c r="N4" s="1445" t="s">
        <v>202</v>
      </c>
      <c r="O4" s="1449" t="s">
        <v>176</v>
      </c>
    </row>
    <row r="5" spans="1:15" ht="30" customHeight="1">
      <c r="A5" s="1443"/>
      <c r="B5" s="1444"/>
      <c r="C5" s="1446"/>
      <c r="D5" s="120" t="s">
        <v>203</v>
      </c>
      <c r="E5" s="120" t="s">
        <v>170</v>
      </c>
      <c r="F5" s="1446"/>
      <c r="G5" s="120" t="s">
        <v>180</v>
      </c>
      <c r="H5" s="120" t="s">
        <v>181</v>
      </c>
      <c r="I5" s="120" t="s">
        <v>180</v>
      </c>
      <c r="J5" s="120" t="s">
        <v>181</v>
      </c>
      <c r="K5" s="1446"/>
      <c r="L5" s="120" t="s">
        <v>182</v>
      </c>
      <c r="M5" s="120" t="s">
        <v>183</v>
      </c>
      <c r="N5" s="1446"/>
      <c r="O5" s="1450"/>
    </row>
    <row r="6" spans="1:15" ht="12.75">
      <c r="A6" s="1452" t="s">
        <v>204</v>
      </c>
      <c r="B6" s="315" t="s">
        <v>873</v>
      </c>
      <c r="C6" s="316">
        <f>7666281/1000</f>
        <v>7666.281</v>
      </c>
      <c r="D6" s="316">
        <v>0</v>
      </c>
      <c r="E6" s="316">
        <f>1176627/1000</f>
        <v>1176.627</v>
      </c>
      <c r="F6" s="316"/>
      <c r="G6" s="316">
        <f>500000/1000</f>
        <v>500</v>
      </c>
      <c r="H6" s="316">
        <v>0</v>
      </c>
      <c r="I6" s="316">
        <v>0</v>
      </c>
      <c r="J6" s="316">
        <v>0</v>
      </c>
      <c r="K6" s="316">
        <v>0</v>
      </c>
      <c r="L6" s="316"/>
      <c r="M6" s="316"/>
      <c r="N6" s="316">
        <v>134516</v>
      </c>
      <c r="O6" s="317">
        <f>SUM(C6+F6+G6+H6+I6+J6+K6+L6+M6+N6)</f>
        <v>142682.281</v>
      </c>
    </row>
    <row r="7" spans="1:15" ht="12.75">
      <c r="A7" s="1453"/>
      <c r="B7" s="315" t="s">
        <v>33</v>
      </c>
      <c r="C7" s="316">
        <v>18712</v>
      </c>
      <c r="D7" s="316">
        <v>690</v>
      </c>
      <c r="E7" s="316">
        <v>5945</v>
      </c>
      <c r="F7" s="316"/>
      <c r="G7" s="316"/>
      <c r="H7" s="316"/>
      <c r="I7" s="316">
        <v>3843</v>
      </c>
      <c r="J7" s="316"/>
      <c r="K7" s="316"/>
      <c r="L7" s="316"/>
      <c r="M7" s="316">
        <v>29686</v>
      </c>
      <c r="N7" s="316">
        <v>95063</v>
      </c>
      <c r="O7" s="317">
        <f aca="true" t="shared" si="0" ref="O7:O23">SUM(C7+F7+G7+H7+I7+J7+K7+L7+M7+N7)</f>
        <v>147304</v>
      </c>
    </row>
    <row r="8" spans="1:15" ht="12.75">
      <c r="A8" s="1454"/>
      <c r="B8" s="315" t="s">
        <v>321</v>
      </c>
      <c r="C8" s="316">
        <v>18314</v>
      </c>
      <c r="D8" s="316">
        <v>690</v>
      </c>
      <c r="E8" s="316">
        <v>5864</v>
      </c>
      <c r="F8" s="316"/>
      <c r="G8" s="316"/>
      <c r="H8" s="316"/>
      <c r="I8" s="316">
        <v>4031</v>
      </c>
      <c r="J8" s="316"/>
      <c r="K8" s="316"/>
      <c r="L8" s="316"/>
      <c r="M8" s="316">
        <v>29686</v>
      </c>
      <c r="N8" s="316">
        <v>95033</v>
      </c>
      <c r="O8" s="317">
        <f t="shared" si="0"/>
        <v>147064</v>
      </c>
    </row>
    <row r="9" spans="1:15" ht="12.75">
      <c r="A9" s="1452" t="s">
        <v>205</v>
      </c>
      <c r="B9" s="315" t="s">
        <v>873</v>
      </c>
      <c r="C9" s="316">
        <v>0</v>
      </c>
      <c r="D9" s="316">
        <v>0</v>
      </c>
      <c r="E9" s="316">
        <v>0</v>
      </c>
      <c r="F9" s="316"/>
      <c r="G9" s="316">
        <v>0</v>
      </c>
      <c r="H9" s="316">
        <v>0</v>
      </c>
      <c r="I9" s="316">
        <v>0</v>
      </c>
      <c r="J9" s="316">
        <v>0</v>
      </c>
      <c r="K9" s="316">
        <v>0</v>
      </c>
      <c r="L9" s="316"/>
      <c r="M9" s="316"/>
      <c r="N9" s="316">
        <v>0</v>
      </c>
      <c r="O9" s="317">
        <f t="shared" si="0"/>
        <v>0</v>
      </c>
    </row>
    <row r="10" spans="1:15" ht="12.75">
      <c r="A10" s="1453"/>
      <c r="B10" s="315" t="s">
        <v>33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>
        <v>23367</v>
      </c>
      <c r="O10" s="317">
        <f t="shared" si="0"/>
        <v>23367</v>
      </c>
    </row>
    <row r="11" spans="1:15" ht="12.75">
      <c r="A11" s="1454"/>
      <c r="B11" s="315" t="s">
        <v>321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>
        <v>23367</v>
      </c>
      <c r="O11" s="317">
        <f t="shared" si="0"/>
        <v>23367</v>
      </c>
    </row>
    <row r="12" spans="1:15" ht="12.75">
      <c r="A12" s="1452" t="s">
        <v>206</v>
      </c>
      <c r="B12" s="315" t="s">
        <v>873</v>
      </c>
      <c r="C12" s="316">
        <f>200000/1000</f>
        <v>200</v>
      </c>
      <c r="D12" s="316">
        <v>0</v>
      </c>
      <c r="E12" s="316">
        <f>54000/1000</f>
        <v>54</v>
      </c>
      <c r="F12" s="316"/>
      <c r="G12" s="316">
        <v>0</v>
      </c>
      <c r="H12" s="316">
        <v>0</v>
      </c>
      <c r="I12" s="316">
        <v>0</v>
      </c>
      <c r="J12" s="316">
        <v>0</v>
      </c>
      <c r="K12" s="316">
        <v>0</v>
      </c>
      <c r="L12" s="316"/>
      <c r="M12" s="316"/>
      <c r="N12" s="316">
        <v>0</v>
      </c>
      <c r="O12" s="317">
        <f t="shared" si="0"/>
        <v>200</v>
      </c>
    </row>
    <row r="13" spans="1:15" ht="12.75">
      <c r="A13" s="1453"/>
      <c r="B13" s="315" t="s">
        <v>33</v>
      </c>
      <c r="C13" s="316">
        <v>200</v>
      </c>
      <c r="D13" s="316"/>
      <c r="E13" s="316">
        <v>54</v>
      </c>
      <c r="F13" s="316"/>
      <c r="G13" s="316"/>
      <c r="H13" s="316"/>
      <c r="I13" s="316"/>
      <c r="J13" s="316"/>
      <c r="K13" s="316"/>
      <c r="L13" s="316"/>
      <c r="M13" s="316"/>
      <c r="N13" s="316">
        <v>1751</v>
      </c>
      <c r="O13" s="317">
        <f t="shared" si="0"/>
        <v>1951</v>
      </c>
    </row>
    <row r="14" spans="1:15" ht="12.75">
      <c r="A14" s="1454"/>
      <c r="B14" s="315" t="s">
        <v>321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>
        <v>1751</v>
      </c>
      <c r="O14" s="317">
        <f t="shared" si="0"/>
        <v>1751</v>
      </c>
    </row>
    <row r="15" spans="1:15" ht="12.75">
      <c r="A15" s="1452" t="s">
        <v>207</v>
      </c>
      <c r="B15" s="315" t="s">
        <v>873</v>
      </c>
      <c r="C15" s="316">
        <f>7600000/1000</f>
        <v>7600</v>
      </c>
      <c r="D15" s="316"/>
      <c r="E15" s="316">
        <f>1800000/1000</f>
        <v>1800</v>
      </c>
      <c r="F15" s="316"/>
      <c r="G15" s="316">
        <v>0</v>
      </c>
      <c r="H15" s="316">
        <v>0</v>
      </c>
      <c r="I15" s="316">
        <v>0</v>
      </c>
      <c r="J15" s="316">
        <v>0</v>
      </c>
      <c r="K15" s="316">
        <v>0</v>
      </c>
      <c r="L15" s="316"/>
      <c r="M15" s="316"/>
      <c r="N15" s="316">
        <v>0</v>
      </c>
      <c r="O15" s="317">
        <f t="shared" si="0"/>
        <v>7600</v>
      </c>
    </row>
    <row r="16" spans="1:15" ht="12.75">
      <c r="A16" s="1453"/>
      <c r="B16" s="315" t="s">
        <v>33</v>
      </c>
      <c r="C16" s="316">
        <v>12037</v>
      </c>
      <c r="D16" s="316"/>
      <c r="E16" s="316">
        <v>2743</v>
      </c>
      <c r="F16" s="316"/>
      <c r="G16" s="316"/>
      <c r="H16" s="316"/>
      <c r="I16" s="316"/>
      <c r="J16" s="316"/>
      <c r="K16" s="316"/>
      <c r="L16" s="316"/>
      <c r="M16" s="316"/>
      <c r="N16" s="316">
        <v>18770</v>
      </c>
      <c r="O16" s="317">
        <f t="shared" si="0"/>
        <v>30807</v>
      </c>
    </row>
    <row r="17" spans="1:15" ht="12.75">
      <c r="A17" s="1454"/>
      <c r="B17" s="315" t="s">
        <v>321</v>
      </c>
      <c r="C17" s="316">
        <v>12637</v>
      </c>
      <c r="D17" s="316"/>
      <c r="E17" s="316">
        <v>2879</v>
      </c>
      <c r="F17" s="316"/>
      <c r="G17" s="316"/>
      <c r="H17" s="316"/>
      <c r="I17" s="316"/>
      <c r="J17" s="316"/>
      <c r="K17" s="316"/>
      <c r="L17" s="316"/>
      <c r="M17" s="316"/>
      <c r="N17" s="316">
        <v>18770</v>
      </c>
      <c r="O17" s="317">
        <f t="shared" si="0"/>
        <v>31407</v>
      </c>
    </row>
    <row r="18" spans="1:15" ht="12.75">
      <c r="A18" s="1461" t="s">
        <v>449</v>
      </c>
      <c r="B18" s="501" t="s">
        <v>873</v>
      </c>
      <c r="C18" s="502">
        <f aca="true" t="shared" si="1" ref="C18:N18">SUM(C6+C9+C12+C15)</f>
        <v>15466.280999999999</v>
      </c>
      <c r="D18" s="502">
        <f t="shared" si="1"/>
        <v>0</v>
      </c>
      <c r="E18" s="502">
        <f t="shared" si="1"/>
        <v>3030.627</v>
      </c>
      <c r="F18" s="502">
        <f t="shared" si="1"/>
        <v>0</v>
      </c>
      <c r="G18" s="502">
        <f t="shared" si="1"/>
        <v>500</v>
      </c>
      <c r="H18" s="502">
        <f t="shared" si="1"/>
        <v>0</v>
      </c>
      <c r="I18" s="502">
        <f t="shared" si="1"/>
        <v>0</v>
      </c>
      <c r="J18" s="502">
        <f t="shared" si="1"/>
        <v>0</v>
      </c>
      <c r="K18" s="502">
        <f t="shared" si="1"/>
        <v>0</v>
      </c>
      <c r="L18" s="502">
        <f t="shared" si="1"/>
        <v>0</v>
      </c>
      <c r="M18" s="502">
        <f t="shared" si="1"/>
        <v>0</v>
      </c>
      <c r="N18" s="502">
        <f t="shared" si="1"/>
        <v>134516</v>
      </c>
      <c r="O18" s="503">
        <f t="shared" si="0"/>
        <v>150482.281</v>
      </c>
    </row>
    <row r="19" spans="1:15" ht="12.75">
      <c r="A19" s="1462"/>
      <c r="B19" s="501" t="s">
        <v>33</v>
      </c>
      <c r="C19" s="499">
        <f aca="true" t="shared" si="2" ref="C19:N19">SUM(C7+C10+C13+C16)</f>
        <v>30949</v>
      </c>
      <c r="D19" s="499">
        <f t="shared" si="2"/>
        <v>690</v>
      </c>
      <c r="E19" s="499">
        <f t="shared" si="2"/>
        <v>8742</v>
      </c>
      <c r="F19" s="499">
        <f t="shared" si="2"/>
        <v>0</v>
      </c>
      <c r="G19" s="499">
        <f t="shared" si="2"/>
        <v>0</v>
      </c>
      <c r="H19" s="499">
        <f t="shared" si="2"/>
        <v>0</v>
      </c>
      <c r="I19" s="499">
        <f t="shared" si="2"/>
        <v>3843</v>
      </c>
      <c r="J19" s="499">
        <f t="shared" si="2"/>
        <v>0</v>
      </c>
      <c r="K19" s="499">
        <f t="shared" si="2"/>
        <v>0</v>
      </c>
      <c r="L19" s="499">
        <f t="shared" si="2"/>
        <v>0</v>
      </c>
      <c r="M19" s="499">
        <f t="shared" si="2"/>
        <v>29686</v>
      </c>
      <c r="N19" s="499">
        <f t="shared" si="2"/>
        <v>138951</v>
      </c>
      <c r="O19" s="503">
        <f t="shared" si="0"/>
        <v>203429</v>
      </c>
    </row>
    <row r="20" spans="1:15" ht="12.75">
      <c r="A20" s="1463"/>
      <c r="B20" s="501" t="s">
        <v>321</v>
      </c>
      <c r="C20" s="499">
        <f>SUM(C8+C11+C14+C17)</f>
        <v>30951</v>
      </c>
      <c r="D20" s="499">
        <f aca="true" t="shared" si="3" ref="D20:N20">SUM(D8+D11+D14+D17)</f>
        <v>690</v>
      </c>
      <c r="E20" s="499">
        <f t="shared" si="3"/>
        <v>8743</v>
      </c>
      <c r="F20" s="499">
        <f t="shared" si="3"/>
        <v>0</v>
      </c>
      <c r="G20" s="499">
        <f t="shared" si="3"/>
        <v>0</v>
      </c>
      <c r="H20" s="499">
        <f t="shared" si="3"/>
        <v>0</v>
      </c>
      <c r="I20" s="499">
        <f t="shared" si="3"/>
        <v>4031</v>
      </c>
      <c r="J20" s="499">
        <f t="shared" si="3"/>
        <v>0</v>
      </c>
      <c r="K20" s="499">
        <f t="shared" si="3"/>
        <v>0</v>
      </c>
      <c r="L20" s="499">
        <f t="shared" si="3"/>
        <v>0</v>
      </c>
      <c r="M20" s="499">
        <f t="shared" si="3"/>
        <v>29686</v>
      </c>
      <c r="N20" s="499">
        <f t="shared" si="3"/>
        <v>138921</v>
      </c>
      <c r="O20" s="503">
        <f t="shared" si="0"/>
        <v>203589</v>
      </c>
    </row>
    <row r="21" spans="1:15" ht="12.75">
      <c r="A21" s="1467" t="s">
        <v>208</v>
      </c>
      <c r="B21" s="501" t="s">
        <v>873</v>
      </c>
      <c r="C21" s="500">
        <f>SUM(C18)</f>
        <v>15466.280999999999</v>
      </c>
      <c r="D21" s="500">
        <f aca="true" t="shared" si="4" ref="D21:N23">SUM(D18)</f>
        <v>0</v>
      </c>
      <c r="E21" s="500">
        <f t="shared" si="4"/>
        <v>3030.627</v>
      </c>
      <c r="F21" s="500">
        <f t="shared" si="4"/>
        <v>0</v>
      </c>
      <c r="G21" s="500">
        <f t="shared" si="4"/>
        <v>500</v>
      </c>
      <c r="H21" s="500">
        <f t="shared" si="4"/>
        <v>0</v>
      </c>
      <c r="I21" s="500">
        <f t="shared" si="4"/>
        <v>0</v>
      </c>
      <c r="J21" s="500">
        <f t="shared" si="4"/>
        <v>0</v>
      </c>
      <c r="K21" s="500">
        <f t="shared" si="4"/>
        <v>0</v>
      </c>
      <c r="L21" s="500">
        <f t="shared" si="4"/>
        <v>0</v>
      </c>
      <c r="M21" s="500">
        <f t="shared" si="4"/>
        <v>0</v>
      </c>
      <c r="N21" s="500">
        <f t="shared" si="4"/>
        <v>134516</v>
      </c>
      <c r="O21" s="503">
        <f t="shared" si="0"/>
        <v>150482.281</v>
      </c>
    </row>
    <row r="22" spans="1:15" ht="12.75">
      <c r="A22" s="1468"/>
      <c r="B22" s="501" t="s">
        <v>33</v>
      </c>
      <c r="C22" s="541">
        <f>SUM(C19)</f>
        <v>30949</v>
      </c>
      <c r="D22" s="541">
        <f t="shared" si="4"/>
        <v>690</v>
      </c>
      <c r="E22" s="541">
        <f t="shared" si="4"/>
        <v>8742</v>
      </c>
      <c r="F22" s="541">
        <f t="shared" si="4"/>
        <v>0</v>
      </c>
      <c r="G22" s="541">
        <f t="shared" si="4"/>
        <v>0</v>
      </c>
      <c r="H22" s="541">
        <f t="shared" si="4"/>
        <v>0</v>
      </c>
      <c r="I22" s="541">
        <f t="shared" si="4"/>
        <v>3843</v>
      </c>
      <c r="J22" s="541">
        <f t="shared" si="4"/>
        <v>0</v>
      </c>
      <c r="K22" s="541">
        <f t="shared" si="4"/>
        <v>0</v>
      </c>
      <c r="L22" s="541">
        <f t="shared" si="4"/>
        <v>0</v>
      </c>
      <c r="M22" s="541">
        <f t="shared" si="4"/>
        <v>29686</v>
      </c>
      <c r="N22" s="541">
        <f t="shared" si="4"/>
        <v>138951</v>
      </c>
      <c r="O22" s="503">
        <f t="shared" si="0"/>
        <v>203429</v>
      </c>
    </row>
    <row r="23" spans="1:15" ht="13.5" thickBot="1">
      <c r="A23" s="1469"/>
      <c r="B23" s="542" t="s">
        <v>321</v>
      </c>
      <c r="C23" s="467">
        <f>SUM(C20)</f>
        <v>30951</v>
      </c>
      <c r="D23" s="467">
        <f t="shared" si="4"/>
        <v>690</v>
      </c>
      <c r="E23" s="467">
        <f t="shared" si="4"/>
        <v>8743</v>
      </c>
      <c r="F23" s="467">
        <f t="shared" si="4"/>
        <v>0</v>
      </c>
      <c r="G23" s="467">
        <f t="shared" si="4"/>
        <v>0</v>
      </c>
      <c r="H23" s="467">
        <f t="shared" si="4"/>
        <v>0</v>
      </c>
      <c r="I23" s="467">
        <f t="shared" si="4"/>
        <v>4031</v>
      </c>
      <c r="J23" s="467">
        <f t="shared" si="4"/>
        <v>0</v>
      </c>
      <c r="K23" s="467">
        <f t="shared" si="4"/>
        <v>0</v>
      </c>
      <c r="L23" s="467">
        <f t="shared" si="4"/>
        <v>0</v>
      </c>
      <c r="M23" s="467">
        <f t="shared" si="4"/>
        <v>29686</v>
      </c>
      <c r="N23" s="467">
        <f t="shared" si="4"/>
        <v>138921</v>
      </c>
      <c r="O23" s="612">
        <f t="shared" si="0"/>
        <v>203589</v>
      </c>
    </row>
    <row r="24" spans="1:15" ht="12.75">
      <c r="A24" s="318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</row>
    <row r="25" spans="1:11" ht="18.75" customHeight="1">
      <c r="A25" s="1440" t="s">
        <v>209</v>
      </c>
      <c r="B25" s="1440"/>
      <c r="C25" s="1440"/>
      <c r="D25" s="1440"/>
      <c r="E25" s="1440"/>
      <c r="F25" s="1440"/>
      <c r="G25" s="1440"/>
      <c r="H25" s="1440"/>
      <c r="I25" s="1440"/>
      <c r="J25" s="1440"/>
      <c r="K25" s="1440"/>
    </row>
    <row r="26" spans="1:11" ht="18.75" customHeight="1" thickBot="1">
      <c r="A26" s="119"/>
      <c r="B26" s="504"/>
      <c r="C26" s="504"/>
      <c r="D26" s="504"/>
      <c r="E26" s="504"/>
      <c r="F26" s="504"/>
      <c r="G26" s="504"/>
      <c r="H26" s="504"/>
      <c r="I26" s="504"/>
      <c r="J26" s="504"/>
      <c r="K26" s="504"/>
    </row>
    <row r="27" spans="1:11" ht="18.75" customHeight="1">
      <c r="A27" s="1457" t="s">
        <v>200</v>
      </c>
      <c r="B27" s="1458"/>
      <c r="C27" s="1451" t="s">
        <v>177</v>
      </c>
      <c r="D27" s="1451"/>
      <c r="E27" s="1451"/>
      <c r="F27" s="1451"/>
      <c r="G27" s="1451"/>
      <c r="H27" s="121"/>
      <c r="I27" s="1451" t="s">
        <v>178</v>
      </c>
      <c r="J27" s="1451"/>
      <c r="K27" s="1455" t="s">
        <v>179</v>
      </c>
    </row>
    <row r="28" spans="1:11" ht="34.5" customHeight="1">
      <c r="A28" s="1459"/>
      <c r="B28" s="1460"/>
      <c r="C28" s="120" t="s">
        <v>119</v>
      </c>
      <c r="D28" s="120" t="s">
        <v>184</v>
      </c>
      <c r="E28" s="120" t="s">
        <v>210</v>
      </c>
      <c r="F28" s="120" t="s">
        <v>211</v>
      </c>
      <c r="G28" s="120" t="s">
        <v>212</v>
      </c>
      <c r="H28" s="120" t="s">
        <v>213</v>
      </c>
      <c r="I28" s="120" t="s">
        <v>143</v>
      </c>
      <c r="J28" s="120" t="s">
        <v>145</v>
      </c>
      <c r="K28" s="1456"/>
    </row>
    <row r="29" spans="1:12" ht="12.75" customHeight="1">
      <c r="A29" s="1452" t="s">
        <v>204</v>
      </c>
      <c r="B29" s="315" t="s">
        <v>873</v>
      </c>
      <c r="C29" s="316">
        <v>56519</v>
      </c>
      <c r="D29" s="316">
        <v>15089</v>
      </c>
      <c r="E29" s="316">
        <v>48195</v>
      </c>
      <c r="F29" s="316">
        <v>0</v>
      </c>
      <c r="G29" s="316">
        <v>0</v>
      </c>
      <c r="H29" s="316">
        <v>0</v>
      </c>
      <c r="I29" s="316">
        <v>1635</v>
      </c>
      <c r="J29" s="316">
        <v>10923</v>
      </c>
      <c r="K29" s="503">
        <f>SUM(C29:J29)</f>
        <v>132361</v>
      </c>
      <c r="L29" s="319"/>
    </row>
    <row r="30" spans="1:12" ht="12.75" customHeight="1">
      <c r="A30" s="1453"/>
      <c r="B30" s="315" t="s">
        <v>33</v>
      </c>
      <c r="C30" s="316">
        <v>36262</v>
      </c>
      <c r="D30" s="316">
        <v>8861</v>
      </c>
      <c r="E30" s="316">
        <v>66114</v>
      </c>
      <c r="F30" s="316">
        <v>0</v>
      </c>
      <c r="G30" s="316">
        <v>0</v>
      </c>
      <c r="H30" s="316">
        <v>0</v>
      </c>
      <c r="I30" s="316">
        <v>22644</v>
      </c>
      <c r="J30" s="316">
        <v>13423</v>
      </c>
      <c r="K30" s="503">
        <f aca="true" t="shared" si="5" ref="K30:K46">SUM(C30:J30)</f>
        <v>147304</v>
      </c>
      <c r="L30" s="319"/>
    </row>
    <row r="31" spans="1:12" ht="12.75" customHeight="1">
      <c r="A31" s="1454"/>
      <c r="B31" s="315" t="s">
        <v>321</v>
      </c>
      <c r="C31" s="316">
        <v>33419</v>
      </c>
      <c r="D31" s="316">
        <v>8485</v>
      </c>
      <c r="E31" s="316">
        <v>44346</v>
      </c>
      <c r="F31" s="316"/>
      <c r="G31" s="316"/>
      <c r="H31" s="316"/>
      <c r="I31" s="316">
        <v>13408</v>
      </c>
      <c r="J31" s="316"/>
      <c r="K31" s="503">
        <f t="shared" si="5"/>
        <v>99658</v>
      </c>
      <c r="L31" s="319"/>
    </row>
    <row r="32" spans="1:12" ht="12.75" customHeight="1">
      <c r="A32" s="1470" t="s">
        <v>205</v>
      </c>
      <c r="B32" s="315" t="s">
        <v>873</v>
      </c>
      <c r="C32" s="316">
        <v>0</v>
      </c>
      <c r="D32" s="316">
        <v>0</v>
      </c>
      <c r="E32" s="316"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503">
        <f t="shared" si="5"/>
        <v>0</v>
      </c>
      <c r="L32" s="319"/>
    </row>
    <row r="33" spans="1:12" ht="12.75" customHeight="1">
      <c r="A33" s="1462"/>
      <c r="B33" s="315" t="s">
        <v>33</v>
      </c>
      <c r="C33" s="316">
        <v>18368</v>
      </c>
      <c r="D33" s="316">
        <v>4419</v>
      </c>
      <c r="E33" s="316">
        <v>330</v>
      </c>
      <c r="F33" s="316">
        <v>0</v>
      </c>
      <c r="G33" s="316">
        <v>0</v>
      </c>
      <c r="H33" s="316">
        <v>0</v>
      </c>
      <c r="I33" s="316">
        <v>250</v>
      </c>
      <c r="J33" s="316">
        <v>0</v>
      </c>
      <c r="K33" s="503">
        <f t="shared" si="5"/>
        <v>23367</v>
      </c>
      <c r="L33" s="319"/>
    </row>
    <row r="34" spans="1:12" ht="12.75" customHeight="1">
      <c r="A34" s="1463"/>
      <c r="B34" s="315" t="s">
        <v>321</v>
      </c>
      <c r="C34" s="316">
        <v>17896</v>
      </c>
      <c r="D34" s="316">
        <v>4375</v>
      </c>
      <c r="E34" s="316">
        <v>328</v>
      </c>
      <c r="F34" s="316"/>
      <c r="G34" s="316"/>
      <c r="H34" s="316"/>
      <c r="I34" s="316"/>
      <c r="J34" s="316"/>
      <c r="K34" s="503">
        <f t="shared" si="5"/>
        <v>22599</v>
      </c>
      <c r="L34" s="319"/>
    </row>
    <row r="35" spans="1:12" ht="12.75" customHeight="1">
      <c r="A35" s="1470" t="s">
        <v>206</v>
      </c>
      <c r="B35" s="315" t="s">
        <v>873</v>
      </c>
      <c r="C35" s="316">
        <v>1536</v>
      </c>
      <c r="D35" s="316">
        <v>415</v>
      </c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503">
        <f t="shared" si="5"/>
        <v>1951</v>
      </c>
      <c r="L35" s="319"/>
    </row>
    <row r="36" spans="1:12" ht="12.75" customHeight="1">
      <c r="A36" s="1462"/>
      <c r="B36" s="315" t="s">
        <v>33</v>
      </c>
      <c r="C36" s="316">
        <v>1536</v>
      </c>
      <c r="D36" s="316">
        <v>415</v>
      </c>
      <c r="E36" s="316">
        <v>0</v>
      </c>
      <c r="F36" s="316">
        <v>0</v>
      </c>
      <c r="G36" s="316">
        <v>0</v>
      </c>
      <c r="H36" s="316">
        <v>0</v>
      </c>
      <c r="I36" s="316">
        <v>0</v>
      </c>
      <c r="J36" s="316">
        <v>0</v>
      </c>
      <c r="K36" s="503">
        <f t="shared" si="5"/>
        <v>1951</v>
      </c>
      <c r="L36" s="319"/>
    </row>
    <row r="37" spans="1:12" ht="12.75" customHeight="1">
      <c r="A37" s="1463"/>
      <c r="B37" s="315" t="s">
        <v>321</v>
      </c>
      <c r="C37" s="316">
        <v>1535</v>
      </c>
      <c r="D37" s="316">
        <v>413</v>
      </c>
      <c r="E37" s="316"/>
      <c r="F37" s="316"/>
      <c r="G37" s="316"/>
      <c r="H37" s="316"/>
      <c r="I37" s="316"/>
      <c r="J37" s="316"/>
      <c r="K37" s="503">
        <f t="shared" si="5"/>
        <v>1948</v>
      </c>
      <c r="L37" s="319"/>
    </row>
    <row r="38" spans="1:12" ht="12.75" customHeight="1">
      <c r="A38" s="1470" t="s">
        <v>207</v>
      </c>
      <c r="B38" s="315" t="s">
        <v>873</v>
      </c>
      <c r="C38" s="316">
        <v>12732</v>
      </c>
      <c r="D38" s="316">
        <v>3438</v>
      </c>
      <c r="E38" s="316">
        <v>0</v>
      </c>
      <c r="F38" s="316">
        <v>0</v>
      </c>
      <c r="G38" s="316">
        <v>0</v>
      </c>
      <c r="H38" s="316">
        <v>0</v>
      </c>
      <c r="I38" s="316">
        <v>0</v>
      </c>
      <c r="J38" s="316">
        <v>0</v>
      </c>
      <c r="K38" s="503">
        <f t="shared" si="5"/>
        <v>16170</v>
      </c>
      <c r="L38" s="319"/>
    </row>
    <row r="39" spans="1:12" ht="12.75" customHeight="1">
      <c r="A39" s="1462"/>
      <c r="B39" s="315" t="s">
        <v>33</v>
      </c>
      <c r="C39" s="316">
        <v>16732</v>
      </c>
      <c r="D39" s="316">
        <v>3638</v>
      </c>
      <c r="E39" s="316">
        <v>10437</v>
      </c>
      <c r="F39" s="316">
        <v>0</v>
      </c>
      <c r="G39" s="316">
        <v>0</v>
      </c>
      <c r="H39" s="316">
        <v>0</v>
      </c>
      <c r="I39" s="316">
        <v>0</v>
      </c>
      <c r="J39" s="316">
        <v>0</v>
      </c>
      <c r="K39" s="503">
        <f t="shared" si="5"/>
        <v>30807</v>
      </c>
      <c r="L39" s="319"/>
    </row>
    <row r="40" spans="1:12" ht="12.75" customHeight="1">
      <c r="A40" s="1463"/>
      <c r="B40" s="315" t="s">
        <v>321</v>
      </c>
      <c r="C40" s="316">
        <v>16805</v>
      </c>
      <c r="D40" s="316">
        <v>3638</v>
      </c>
      <c r="E40" s="316">
        <v>8767</v>
      </c>
      <c r="F40" s="316"/>
      <c r="G40" s="316"/>
      <c r="H40" s="316"/>
      <c r="I40" s="316"/>
      <c r="J40" s="316"/>
      <c r="K40" s="503">
        <f t="shared" si="5"/>
        <v>29210</v>
      </c>
      <c r="L40" s="319"/>
    </row>
    <row r="41" spans="1:12" ht="12.75" customHeight="1">
      <c r="A41" s="1467" t="s">
        <v>449</v>
      </c>
      <c r="B41" s="501" t="s">
        <v>873</v>
      </c>
      <c r="C41" s="502">
        <f aca="true" t="shared" si="6" ref="C41:J42">SUM(C29+C32+C35+C38)</f>
        <v>70787</v>
      </c>
      <c r="D41" s="502">
        <f t="shared" si="6"/>
        <v>18942</v>
      </c>
      <c r="E41" s="502">
        <f t="shared" si="6"/>
        <v>48195</v>
      </c>
      <c r="F41" s="502">
        <f t="shared" si="6"/>
        <v>0</v>
      </c>
      <c r="G41" s="502">
        <f t="shared" si="6"/>
        <v>0</v>
      </c>
      <c r="H41" s="502">
        <f t="shared" si="6"/>
        <v>0</v>
      </c>
      <c r="I41" s="502">
        <f t="shared" si="6"/>
        <v>1635</v>
      </c>
      <c r="J41" s="502">
        <f t="shared" si="6"/>
        <v>10923</v>
      </c>
      <c r="K41" s="503">
        <f t="shared" si="5"/>
        <v>150482</v>
      </c>
      <c r="L41" s="319"/>
    </row>
    <row r="42" spans="1:12" ht="12.75" customHeight="1">
      <c r="A42" s="1462"/>
      <c r="B42" s="501" t="s">
        <v>33</v>
      </c>
      <c r="C42" s="502">
        <f t="shared" si="6"/>
        <v>72898</v>
      </c>
      <c r="D42" s="502">
        <f t="shared" si="6"/>
        <v>17333</v>
      </c>
      <c r="E42" s="502">
        <f t="shared" si="6"/>
        <v>76881</v>
      </c>
      <c r="F42" s="502">
        <f t="shared" si="6"/>
        <v>0</v>
      </c>
      <c r="G42" s="502">
        <f t="shared" si="6"/>
        <v>0</v>
      </c>
      <c r="H42" s="502">
        <f t="shared" si="6"/>
        <v>0</v>
      </c>
      <c r="I42" s="502">
        <f t="shared" si="6"/>
        <v>22894</v>
      </c>
      <c r="J42" s="502">
        <f t="shared" si="6"/>
        <v>13423</v>
      </c>
      <c r="K42" s="503">
        <f t="shared" si="5"/>
        <v>203429</v>
      </c>
      <c r="L42" s="319"/>
    </row>
    <row r="43" spans="1:12" ht="12.75" customHeight="1">
      <c r="A43" s="1463"/>
      <c r="B43" s="501" t="s">
        <v>321</v>
      </c>
      <c r="C43" s="502">
        <f>SUM(C31+C34+C37+C40)</f>
        <v>69655</v>
      </c>
      <c r="D43" s="502">
        <f aca="true" t="shared" si="7" ref="D43:J43">SUM(D31+D34+D37+D40)</f>
        <v>16911</v>
      </c>
      <c r="E43" s="502">
        <f t="shared" si="7"/>
        <v>53441</v>
      </c>
      <c r="F43" s="502">
        <f t="shared" si="7"/>
        <v>0</v>
      </c>
      <c r="G43" s="502">
        <f t="shared" si="7"/>
        <v>0</v>
      </c>
      <c r="H43" s="502">
        <f t="shared" si="7"/>
        <v>0</v>
      </c>
      <c r="I43" s="502">
        <f t="shared" si="7"/>
        <v>13408</v>
      </c>
      <c r="J43" s="502">
        <f t="shared" si="7"/>
        <v>0</v>
      </c>
      <c r="K43" s="503">
        <f t="shared" si="5"/>
        <v>153415</v>
      </c>
      <c r="L43" s="319"/>
    </row>
    <row r="44" spans="1:12" ht="12.75" customHeight="1">
      <c r="A44" s="1464" t="s">
        <v>208</v>
      </c>
      <c r="B44" s="501" t="s">
        <v>873</v>
      </c>
      <c r="C44" s="502">
        <f aca="true" t="shared" si="8" ref="C44:J45">SUM(C29+C32+C35+C38)</f>
        <v>70787</v>
      </c>
      <c r="D44" s="502">
        <f t="shared" si="8"/>
        <v>18942</v>
      </c>
      <c r="E44" s="502">
        <f t="shared" si="8"/>
        <v>48195</v>
      </c>
      <c r="F44" s="502">
        <f t="shared" si="8"/>
        <v>0</v>
      </c>
      <c r="G44" s="502">
        <f t="shared" si="8"/>
        <v>0</v>
      </c>
      <c r="H44" s="502">
        <f t="shared" si="8"/>
        <v>0</v>
      </c>
      <c r="I44" s="502">
        <f t="shared" si="8"/>
        <v>1635</v>
      </c>
      <c r="J44" s="502">
        <f t="shared" si="8"/>
        <v>10923</v>
      </c>
      <c r="K44" s="503">
        <f t="shared" si="5"/>
        <v>150482</v>
      </c>
      <c r="L44" s="319"/>
    </row>
    <row r="45" spans="1:11" ht="12.75">
      <c r="A45" s="1465"/>
      <c r="B45" s="501" t="s">
        <v>33</v>
      </c>
      <c r="C45" s="541">
        <f t="shared" si="8"/>
        <v>72898</v>
      </c>
      <c r="D45" s="541">
        <f t="shared" si="8"/>
        <v>17333</v>
      </c>
      <c r="E45" s="541">
        <f t="shared" si="8"/>
        <v>76881</v>
      </c>
      <c r="F45" s="541">
        <f t="shared" si="8"/>
        <v>0</v>
      </c>
      <c r="G45" s="541">
        <f t="shared" si="8"/>
        <v>0</v>
      </c>
      <c r="H45" s="541">
        <f t="shared" si="8"/>
        <v>0</v>
      </c>
      <c r="I45" s="541">
        <f t="shared" si="8"/>
        <v>22894</v>
      </c>
      <c r="J45" s="541">
        <f t="shared" si="8"/>
        <v>13423</v>
      </c>
      <c r="K45" s="503">
        <f t="shared" si="5"/>
        <v>203429</v>
      </c>
    </row>
    <row r="46" spans="1:11" ht="13.5" thickBot="1">
      <c r="A46" s="1466"/>
      <c r="B46" s="673" t="s">
        <v>321</v>
      </c>
      <c r="C46" s="467">
        <f>SUM(C31+C34+C37+C40)</f>
        <v>69655</v>
      </c>
      <c r="D46" s="467">
        <f aca="true" t="shared" si="9" ref="D46:J46">SUM(D31+D34+D37+D40)</f>
        <v>16911</v>
      </c>
      <c r="E46" s="467">
        <f t="shared" si="9"/>
        <v>53441</v>
      </c>
      <c r="F46" s="467">
        <f t="shared" si="9"/>
        <v>0</v>
      </c>
      <c r="G46" s="467">
        <f t="shared" si="9"/>
        <v>0</v>
      </c>
      <c r="H46" s="467">
        <f t="shared" si="9"/>
        <v>0</v>
      </c>
      <c r="I46" s="467">
        <f t="shared" si="9"/>
        <v>13408</v>
      </c>
      <c r="J46" s="467">
        <f t="shared" si="9"/>
        <v>0</v>
      </c>
      <c r="K46" s="612">
        <f t="shared" si="5"/>
        <v>153415</v>
      </c>
    </row>
  </sheetData>
  <sheetProtection/>
  <mergeCells count="29">
    <mergeCell ref="A15:A17"/>
    <mergeCell ref="A18:A20"/>
    <mergeCell ref="A44:A46"/>
    <mergeCell ref="A21:A23"/>
    <mergeCell ref="A29:A31"/>
    <mergeCell ref="A32:A34"/>
    <mergeCell ref="A35:A37"/>
    <mergeCell ref="A38:A40"/>
    <mergeCell ref="A41:A43"/>
    <mergeCell ref="C27:G27"/>
    <mergeCell ref="L4:M4"/>
    <mergeCell ref="N4:N5"/>
    <mergeCell ref="A6:A8"/>
    <mergeCell ref="A25:K25"/>
    <mergeCell ref="K27:K28"/>
    <mergeCell ref="I27:J27"/>
    <mergeCell ref="A27:B28"/>
    <mergeCell ref="A9:A11"/>
    <mergeCell ref="A12:A14"/>
    <mergeCell ref="A1:O1"/>
    <mergeCell ref="A2:O2"/>
    <mergeCell ref="A4:B5"/>
    <mergeCell ref="C4:C5"/>
    <mergeCell ref="D4:E4"/>
    <mergeCell ref="F4:F5"/>
    <mergeCell ref="G4:H4"/>
    <mergeCell ref="O4:O5"/>
    <mergeCell ref="I4:J4"/>
    <mergeCell ref="K4:K5"/>
  </mergeCells>
  <printOptions horizontalCentered="1"/>
  <pageMargins left="0.2362204724409449" right="0.35433070866141736" top="1.13" bottom="0.29" header="0.63" footer="0.37"/>
  <pageSetup horizontalDpi="600" verticalDpi="600" orientation="landscape" paperSize="9" scale="69" r:id="rId1"/>
  <headerFooter alignWithMargins="0">
    <oddHeader>&amp;L 7. melléklet a 8/2014.(V.5.) önkormányzati rendelethez</oddHead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0"/>
  <sheetViews>
    <sheetView view="pageLayout" zoomScaleSheetLayoutView="100" workbookViewId="0" topLeftCell="A1">
      <selection activeCell="A86" sqref="A86"/>
    </sheetView>
  </sheetViews>
  <sheetFormatPr defaultColWidth="9.00390625" defaultRowHeight="12.75"/>
  <cols>
    <col min="1" max="1" width="95.375" style="122" customWidth="1"/>
    <col min="2" max="2" width="10.375" style="123" customWidth="1"/>
    <col min="3" max="3" width="12.00390625" style="123" hidden="1" customWidth="1"/>
    <col min="4" max="4" width="12.75390625" style="139" customWidth="1"/>
    <col min="5" max="5" width="14.375" style="961" customWidth="1"/>
    <col min="6" max="16384" width="9.125" style="122" customWidth="1"/>
  </cols>
  <sheetData>
    <row r="1" spans="2:3" ht="12.75">
      <c r="B1" s="122"/>
      <c r="C1" s="122"/>
    </row>
    <row r="2" spans="1:5" ht="15.75">
      <c r="A2" s="1471" t="s">
        <v>214</v>
      </c>
      <c r="B2" s="1471"/>
      <c r="C2" s="1471"/>
      <c r="D2" s="1471"/>
      <c r="E2" s="1471"/>
    </row>
    <row r="3" spans="1:5" ht="15.75">
      <c r="A3" s="1472" t="s">
        <v>215</v>
      </c>
      <c r="B3" s="1472"/>
      <c r="C3" s="1472"/>
      <c r="D3" s="1472"/>
      <c r="E3" s="1472"/>
    </row>
    <row r="4" ht="13.5" thickBot="1"/>
    <row r="5" spans="1:5" s="126" customFormat="1" ht="12.75">
      <c r="A5" s="124" t="s">
        <v>216</v>
      </c>
      <c r="B5" s="125" t="s">
        <v>873</v>
      </c>
      <c r="C5" s="125" t="s">
        <v>1125</v>
      </c>
      <c r="D5" s="125" t="s">
        <v>33</v>
      </c>
      <c r="E5" s="962" t="s">
        <v>1126</v>
      </c>
    </row>
    <row r="6" spans="1:5" ht="12.75">
      <c r="A6" s="127"/>
      <c r="B6" s="128"/>
      <c r="C6" s="128"/>
      <c r="D6" s="128"/>
      <c r="E6" s="963"/>
    </row>
    <row r="7" spans="1:5" ht="12.75">
      <c r="A7" s="129" t="s">
        <v>867</v>
      </c>
      <c r="B7" s="130">
        <f>SUM(B9,B35,B53)</f>
        <v>2129489</v>
      </c>
      <c r="C7" s="130">
        <f>SUM(C9,C35,C53)</f>
        <v>3291917</v>
      </c>
      <c r="D7" s="130">
        <f>SUM(D9,D35,D53)</f>
        <v>709047</v>
      </c>
      <c r="E7" s="964">
        <f>SUM(E9,E35,E53)</f>
        <v>657119</v>
      </c>
    </row>
    <row r="8" spans="1:5" ht="12.75">
      <c r="A8" s="127"/>
      <c r="B8" s="128"/>
      <c r="C8" s="128"/>
      <c r="D8" s="128"/>
      <c r="E8" s="963"/>
    </row>
    <row r="9" spans="1:5" ht="12.75">
      <c r="A9" s="129" t="s">
        <v>217</v>
      </c>
      <c r="B9" s="130">
        <f>SUM(B10:B23)</f>
        <v>1975848</v>
      </c>
      <c r="C9" s="130">
        <f>SUM(C10:C33)</f>
        <v>2945075</v>
      </c>
      <c r="D9" s="130">
        <f>SUM(D10:D33)</f>
        <v>415973</v>
      </c>
      <c r="E9" s="964">
        <f>SUM(E10:E33)</f>
        <v>408013</v>
      </c>
    </row>
    <row r="10" spans="1:5" s="131" customFormat="1" ht="12.75">
      <c r="A10" s="127" t="s">
        <v>218</v>
      </c>
      <c r="B10" s="128">
        <v>443330</v>
      </c>
      <c r="C10" s="128">
        <f>443330+1691</f>
        <v>445021</v>
      </c>
      <c r="D10" s="128">
        <f>445021-444957</f>
        <v>64</v>
      </c>
      <c r="E10" s="963">
        <v>54</v>
      </c>
    </row>
    <row r="11" spans="1:5" s="131" customFormat="1" ht="25.5">
      <c r="A11" s="132" t="s">
        <v>219</v>
      </c>
      <c r="B11" s="128">
        <v>1400</v>
      </c>
      <c r="C11" s="128">
        <v>0</v>
      </c>
      <c r="D11" s="128">
        <v>0</v>
      </c>
      <c r="E11" s="963">
        <v>0</v>
      </c>
    </row>
    <row r="12" spans="1:5" s="131" customFormat="1" ht="25.5">
      <c r="A12" s="132" t="s">
        <v>220</v>
      </c>
      <c r="B12" s="128">
        <v>404270</v>
      </c>
      <c r="C12" s="128">
        <f>404270-100697-1025</f>
        <v>302548</v>
      </c>
      <c r="D12" s="128">
        <f>302548-245710</f>
        <v>56838</v>
      </c>
      <c r="E12" s="963">
        <v>56830</v>
      </c>
    </row>
    <row r="13" spans="1:5" s="131" customFormat="1" ht="12.75">
      <c r="A13" s="127" t="s">
        <v>221</v>
      </c>
      <c r="B13" s="128">
        <v>500000</v>
      </c>
      <c r="C13" s="128">
        <f>500000+88000</f>
        <v>588000</v>
      </c>
      <c r="D13" s="128">
        <v>0</v>
      </c>
      <c r="E13" s="963">
        <v>0</v>
      </c>
    </row>
    <row r="14" spans="1:5" s="131" customFormat="1" ht="12.75">
      <c r="A14" s="127" t="s">
        <v>222</v>
      </c>
      <c r="B14" s="128">
        <v>5341</v>
      </c>
      <c r="C14" s="128">
        <v>5341</v>
      </c>
      <c r="D14" s="128">
        <v>5341</v>
      </c>
      <c r="E14" s="963">
        <v>5341</v>
      </c>
    </row>
    <row r="15" spans="1:5" s="131" customFormat="1" ht="12.75">
      <c r="A15" s="127" t="s">
        <v>223</v>
      </c>
      <c r="B15" s="128">
        <v>25000</v>
      </c>
      <c r="C15" s="128">
        <v>0</v>
      </c>
      <c r="D15" s="128">
        <v>0</v>
      </c>
      <c r="E15" s="963">
        <v>0</v>
      </c>
    </row>
    <row r="16" spans="1:5" s="131" customFormat="1" ht="12.75">
      <c r="A16" s="127" t="s">
        <v>224</v>
      </c>
      <c r="B16" s="128">
        <v>5000</v>
      </c>
      <c r="C16" s="128">
        <v>5000</v>
      </c>
      <c r="D16" s="128">
        <v>200</v>
      </c>
      <c r="E16" s="963">
        <v>110</v>
      </c>
    </row>
    <row r="17" spans="1:5" s="131" customFormat="1" ht="12.75">
      <c r="A17" s="127" t="s">
        <v>225</v>
      </c>
      <c r="B17" s="128">
        <v>2000</v>
      </c>
      <c r="C17" s="128">
        <v>895</v>
      </c>
      <c r="D17" s="128">
        <v>895</v>
      </c>
      <c r="E17" s="963">
        <v>666</v>
      </c>
    </row>
    <row r="18" spans="1:5" s="131" customFormat="1" ht="12.75">
      <c r="A18" s="127" t="s">
        <v>226</v>
      </c>
      <c r="B18" s="128">
        <v>15000</v>
      </c>
      <c r="C18" s="128">
        <v>15000</v>
      </c>
      <c r="D18" s="128">
        <v>1000</v>
      </c>
      <c r="E18" s="963">
        <v>785</v>
      </c>
    </row>
    <row r="19" spans="1:5" s="131" customFormat="1" ht="12.75">
      <c r="A19" s="127" t="s">
        <v>227</v>
      </c>
      <c r="B19" s="128">
        <v>81290</v>
      </c>
      <c r="C19" s="128">
        <f>81290+40339</f>
        <v>121629</v>
      </c>
      <c r="D19" s="128">
        <v>0</v>
      </c>
      <c r="E19" s="963">
        <v>0</v>
      </c>
    </row>
    <row r="20" spans="1:5" s="131" customFormat="1" ht="25.5">
      <c r="A20" s="132" t="s">
        <v>228</v>
      </c>
      <c r="B20" s="128">
        <v>456866</v>
      </c>
      <c r="C20" s="128">
        <f>456866-6308</f>
        <v>450558</v>
      </c>
      <c r="D20" s="128">
        <f>450558-146332</f>
        <v>304226</v>
      </c>
      <c r="E20" s="963">
        <f>304226-12</f>
        <v>304214</v>
      </c>
    </row>
    <row r="21" spans="1:5" s="131" customFormat="1" ht="12.75">
      <c r="A21" s="127" t="s">
        <v>229</v>
      </c>
      <c r="B21" s="128">
        <v>13925</v>
      </c>
      <c r="C21" s="128">
        <f>13925+7000</f>
        <v>20925</v>
      </c>
      <c r="D21" s="128">
        <f>20925-7000</f>
        <v>13925</v>
      </c>
      <c r="E21" s="963">
        <v>13896</v>
      </c>
    </row>
    <row r="22" spans="1:5" s="131" customFormat="1" ht="12.75">
      <c r="A22" s="127" t="s">
        <v>230</v>
      </c>
      <c r="B22" s="128">
        <v>17426</v>
      </c>
      <c r="C22" s="128">
        <f>16981-100+7574+4314+2000+251-500-1500</f>
        <v>29020</v>
      </c>
      <c r="D22" s="128">
        <f>29020-201-11074</f>
        <v>17745</v>
      </c>
      <c r="E22" s="963">
        <f>17131+57+535+12</f>
        <v>17735</v>
      </c>
    </row>
    <row r="23" spans="1:5" s="131" customFormat="1" ht="12.75">
      <c r="A23" s="127" t="s">
        <v>776</v>
      </c>
      <c r="B23" s="128">
        <v>5000</v>
      </c>
      <c r="C23" s="128">
        <v>147853</v>
      </c>
      <c r="D23" s="128">
        <f>147853-147402</f>
        <v>451</v>
      </c>
      <c r="E23" s="963">
        <v>0</v>
      </c>
    </row>
    <row r="24" spans="1:5" s="131" customFormat="1" ht="25.5">
      <c r="A24" s="132" t="s">
        <v>340</v>
      </c>
      <c r="B24" s="128"/>
      <c r="C24" s="128">
        <f>46350-116-1270</f>
        <v>44964</v>
      </c>
      <c r="D24" s="128">
        <f>44964-41587</f>
        <v>3377</v>
      </c>
      <c r="E24" s="963">
        <v>1270</v>
      </c>
    </row>
    <row r="25" spans="1:5" s="131" customFormat="1" ht="12.75">
      <c r="A25" s="127" t="s">
        <v>280</v>
      </c>
      <c r="B25" s="128"/>
      <c r="C25" s="128">
        <v>93750</v>
      </c>
      <c r="D25" s="128">
        <v>0</v>
      </c>
      <c r="E25" s="963">
        <v>0</v>
      </c>
    </row>
    <row r="26" spans="1:5" s="131" customFormat="1" ht="12.75">
      <c r="A26" s="127" t="s">
        <v>275</v>
      </c>
      <c r="B26" s="128"/>
      <c r="C26" s="128">
        <v>185000</v>
      </c>
      <c r="D26" s="128">
        <v>0</v>
      </c>
      <c r="E26" s="963">
        <v>0</v>
      </c>
    </row>
    <row r="27" spans="1:5" s="131" customFormat="1" ht="12.75">
      <c r="A27" s="127" t="s">
        <v>777</v>
      </c>
      <c r="B27" s="128"/>
      <c r="C27" s="128">
        <v>9355</v>
      </c>
      <c r="D27" s="128">
        <f>9355-734</f>
        <v>8621</v>
      </c>
      <c r="E27" s="963">
        <v>7112</v>
      </c>
    </row>
    <row r="28" spans="1:5" s="131" customFormat="1" ht="25.5">
      <c r="A28" s="132" t="s">
        <v>549</v>
      </c>
      <c r="B28" s="128"/>
      <c r="C28" s="128">
        <v>3137</v>
      </c>
      <c r="D28" s="128">
        <v>0</v>
      </c>
      <c r="E28" s="963">
        <v>0</v>
      </c>
    </row>
    <row r="29" spans="1:5" s="131" customFormat="1" ht="25.5">
      <c r="A29" s="132" t="s">
        <v>735</v>
      </c>
      <c r="B29" s="128"/>
      <c r="C29" s="128">
        <f>19186+4136+15240+1400+311968</f>
        <v>351930</v>
      </c>
      <c r="D29" s="128">
        <f>351930-348640</f>
        <v>3290</v>
      </c>
      <c r="E29" s="963">
        <v>0</v>
      </c>
    </row>
    <row r="30" spans="1:5" s="131" customFormat="1" ht="12.75">
      <c r="A30" s="132" t="s">
        <v>277</v>
      </c>
      <c r="B30" s="128"/>
      <c r="C30" s="128">
        <v>16000</v>
      </c>
      <c r="D30" s="128">
        <v>0</v>
      </c>
      <c r="E30" s="963">
        <v>0</v>
      </c>
    </row>
    <row r="31" spans="1:5" s="131" customFormat="1" ht="12.75">
      <c r="A31" s="132" t="s">
        <v>279</v>
      </c>
      <c r="B31" s="128"/>
      <c r="C31" s="128">
        <v>6544</v>
      </c>
      <c r="D31" s="128">
        <v>0</v>
      </c>
      <c r="E31" s="963">
        <v>0</v>
      </c>
    </row>
    <row r="32" spans="1:5" s="131" customFormat="1" ht="12.75">
      <c r="A32" s="132" t="s">
        <v>345</v>
      </c>
      <c r="B32" s="128"/>
      <c r="C32" s="128">
        <v>30000</v>
      </c>
      <c r="D32" s="128">
        <v>0</v>
      </c>
      <c r="E32" s="963">
        <v>0</v>
      </c>
    </row>
    <row r="33" spans="1:5" s="131" customFormat="1" ht="25.5">
      <c r="A33" s="132" t="s">
        <v>346</v>
      </c>
      <c r="B33" s="128"/>
      <c r="C33" s="128">
        <v>72605</v>
      </c>
      <c r="D33" s="128">
        <v>0</v>
      </c>
      <c r="E33" s="963">
        <v>0</v>
      </c>
    </row>
    <row r="34" spans="1:5" s="131" customFormat="1" ht="12.75">
      <c r="A34" s="127"/>
      <c r="B34" s="128"/>
      <c r="C34" s="128"/>
      <c r="D34" s="128"/>
      <c r="E34" s="963"/>
    </row>
    <row r="35" spans="1:5" ht="12.75">
      <c r="A35" s="129" t="s">
        <v>231</v>
      </c>
      <c r="B35" s="130">
        <f>SUM(B36:B39)</f>
        <v>11182</v>
      </c>
      <c r="C35" s="130">
        <f>SUM(C36:C51)</f>
        <v>223959</v>
      </c>
      <c r="D35" s="130">
        <f>SUM(D36:D51)</f>
        <v>202017</v>
      </c>
      <c r="E35" s="964">
        <f>SUM(E36:E51)</f>
        <v>192245</v>
      </c>
    </row>
    <row r="36" spans="1:5" s="131" customFormat="1" ht="12.75">
      <c r="A36" s="127" t="s">
        <v>232</v>
      </c>
      <c r="B36" s="128">
        <v>2000</v>
      </c>
      <c r="C36" s="128">
        <v>0</v>
      </c>
      <c r="D36" s="128">
        <v>0</v>
      </c>
      <c r="E36" s="963">
        <v>0</v>
      </c>
    </row>
    <row r="37" spans="1:5" s="131" customFormat="1" ht="12.75">
      <c r="A37" s="127" t="s">
        <v>233</v>
      </c>
      <c r="B37" s="128">
        <v>2832</v>
      </c>
      <c r="C37" s="128">
        <f>2832+3525</f>
        <v>6357</v>
      </c>
      <c r="D37" s="128">
        <v>6357</v>
      </c>
      <c r="E37" s="963">
        <v>6357</v>
      </c>
    </row>
    <row r="38" spans="1:5" s="131" customFormat="1" ht="12.75">
      <c r="A38" s="127" t="s">
        <v>234</v>
      </c>
      <c r="B38" s="128">
        <v>2159</v>
      </c>
      <c r="C38" s="128">
        <v>2159</v>
      </c>
      <c r="D38" s="128">
        <v>2159</v>
      </c>
      <c r="E38" s="963">
        <v>611</v>
      </c>
    </row>
    <row r="39" spans="1:5" s="131" customFormat="1" ht="25.5">
      <c r="A39" s="132" t="s">
        <v>235</v>
      </c>
      <c r="B39" s="128">
        <v>4191</v>
      </c>
      <c r="C39" s="128">
        <v>4191</v>
      </c>
      <c r="D39" s="128">
        <v>4191</v>
      </c>
      <c r="E39" s="963">
        <v>938</v>
      </c>
    </row>
    <row r="40" spans="1:5" s="131" customFormat="1" ht="12.75">
      <c r="A40" s="127" t="s">
        <v>778</v>
      </c>
      <c r="B40" s="128"/>
      <c r="C40" s="128">
        <v>3000</v>
      </c>
      <c r="D40" s="128">
        <v>3000</v>
      </c>
      <c r="E40" s="963">
        <v>3000</v>
      </c>
    </row>
    <row r="41" spans="1:5" s="131" customFormat="1" ht="12.75">
      <c r="A41" s="127" t="s">
        <v>779</v>
      </c>
      <c r="B41" s="128"/>
      <c r="C41" s="128">
        <v>55234</v>
      </c>
      <c r="D41" s="128">
        <v>55234</v>
      </c>
      <c r="E41" s="963">
        <v>55234</v>
      </c>
    </row>
    <row r="42" spans="1:5" s="131" customFormat="1" ht="12.75">
      <c r="A42" s="127" t="s">
        <v>780</v>
      </c>
      <c r="B42" s="128"/>
      <c r="C42" s="128">
        <v>14000</v>
      </c>
      <c r="D42" s="128">
        <f>14000+1624</f>
        <v>15624</v>
      </c>
      <c r="E42" s="963">
        <v>15624</v>
      </c>
    </row>
    <row r="43" spans="1:5" s="131" customFormat="1" ht="12.75">
      <c r="A43" s="127" t="s">
        <v>781</v>
      </c>
      <c r="B43" s="128"/>
      <c r="C43" s="128">
        <v>1530</v>
      </c>
      <c r="D43" s="128">
        <v>1530</v>
      </c>
      <c r="E43" s="963">
        <v>1530</v>
      </c>
    </row>
    <row r="44" spans="1:5" s="131" customFormat="1" ht="12.75">
      <c r="A44" s="127" t="s">
        <v>550</v>
      </c>
      <c r="B44" s="128"/>
      <c r="C44" s="128">
        <v>18700</v>
      </c>
      <c r="D44" s="128">
        <v>18700</v>
      </c>
      <c r="E44" s="963">
        <v>18700</v>
      </c>
    </row>
    <row r="45" spans="1:5" s="131" customFormat="1" ht="25.5">
      <c r="A45" s="132" t="s">
        <v>551</v>
      </c>
      <c r="B45" s="128"/>
      <c r="C45" s="128">
        <v>4300</v>
      </c>
      <c r="D45" s="128">
        <v>4300</v>
      </c>
      <c r="E45" s="963">
        <v>4050</v>
      </c>
    </row>
    <row r="46" spans="1:5" s="131" customFormat="1" ht="12.75">
      <c r="A46" s="127" t="s">
        <v>552</v>
      </c>
      <c r="B46" s="128"/>
      <c r="C46" s="128">
        <v>5150</v>
      </c>
      <c r="D46" s="128">
        <v>5150</v>
      </c>
      <c r="E46" s="963">
        <v>5150</v>
      </c>
    </row>
    <row r="47" spans="1:5" s="131" customFormat="1" ht="12.75">
      <c r="A47" s="127" t="s">
        <v>553</v>
      </c>
      <c r="B47" s="128"/>
      <c r="C47" s="128">
        <v>37024</v>
      </c>
      <c r="D47" s="128">
        <v>37024</v>
      </c>
      <c r="E47" s="963">
        <v>37024</v>
      </c>
    </row>
    <row r="48" spans="1:5" s="131" customFormat="1" ht="12.75">
      <c r="A48" s="127" t="s">
        <v>554</v>
      </c>
      <c r="B48" s="128"/>
      <c r="C48" s="128">
        <v>359</v>
      </c>
      <c r="D48" s="128">
        <v>359</v>
      </c>
      <c r="E48" s="963">
        <v>359</v>
      </c>
    </row>
    <row r="49" spans="1:5" s="131" customFormat="1" ht="25.5">
      <c r="A49" s="132" t="s">
        <v>736</v>
      </c>
      <c r="B49" s="128"/>
      <c r="C49" s="128">
        <v>71120</v>
      </c>
      <c r="D49" s="128">
        <f>71120-23566</f>
        <v>47554</v>
      </c>
      <c r="E49" s="963">
        <v>43668</v>
      </c>
    </row>
    <row r="50" spans="1:5" s="131" customFormat="1" ht="12.75">
      <c r="A50" s="132" t="s">
        <v>737</v>
      </c>
      <c r="B50" s="128"/>
      <c r="C50" s="128">
        <v>200</v>
      </c>
      <c r="D50" s="128">
        <v>200</v>
      </c>
      <c r="E50" s="963">
        <v>0</v>
      </c>
    </row>
    <row r="51" spans="1:5" s="131" customFormat="1" ht="25.5">
      <c r="A51" s="132" t="s">
        <v>738</v>
      </c>
      <c r="B51" s="128"/>
      <c r="C51" s="128">
        <v>635</v>
      </c>
      <c r="D51" s="128">
        <v>635</v>
      </c>
      <c r="E51" s="963">
        <v>0</v>
      </c>
    </row>
    <row r="52" spans="1:5" s="131" customFormat="1" ht="12.75">
      <c r="A52" s="127"/>
      <c r="B52" s="128"/>
      <c r="C52" s="128"/>
      <c r="D52" s="128"/>
      <c r="E52" s="963"/>
    </row>
    <row r="53" spans="1:5" ht="12.75">
      <c r="A53" s="129" t="s">
        <v>236</v>
      </c>
      <c r="B53" s="130">
        <f>SUM(B54:B79)</f>
        <v>142459</v>
      </c>
      <c r="C53" s="130">
        <f>SUM(C54:C84)</f>
        <v>122883</v>
      </c>
      <c r="D53" s="130">
        <f>SUM(D54:D84)</f>
        <v>91057</v>
      </c>
      <c r="E53" s="964">
        <f>SUM(E54:E84)</f>
        <v>56861</v>
      </c>
    </row>
    <row r="54" spans="1:5" s="131" customFormat="1" ht="12.75">
      <c r="A54" s="127" t="s">
        <v>241</v>
      </c>
      <c r="B54" s="128">
        <v>5080</v>
      </c>
      <c r="C54" s="128">
        <f>5080-936</f>
        <v>4144</v>
      </c>
      <c r="D54" s="128">
        <v>4144</v>
      </c>
      <c r="E54" s="963">
        <v>4120</v>
      </c>
    </row>
    <row r="55" spans="1:5" s="131" customFormat="1" ht="12.75">
      <c r="A55" s="127" t="s">
        <v>242</v>
      </c>
      <c r="B55" s="128">
        <v>950</v>
      </c>
      <c r="C55" s="128">
        <v>950</v>
      </c>
      <c r="D55" s="128">
        <v>950</v>
      </c>
      <c r="E55" s="963">
        <v>936</v>
      </c>
    </row>
    <row r="56" spans="1:5" s="131" customFormat="1" ht="12.75">
      <c r="A56" s="127" t="s">
        <v>243</v>
      </c>
      <c r="B56" s="128">
        <v>5000</v>
      </c>
      <c r="C56" s="128">
        <f>5000-4314</f>
        <v>686</v>
      </c>
      <c r="D56" s="128">
        <v>686</v>
      </c>
      <c r="E56" s="963">
        <v>114</v>
      </c>
    </row>
    <row r="57" spans="1:5" s="131" customFormat="1" ht="12.75">
      <c r="A57" s="132" t="s">
        <v>244</v>
      </c>
      <c r="B57" s="128">
        <v>1000</v>
      </c>
      <c r="C57" s="128">
        <v>1000</v>
      </c>
      <c r="D57" s="128">
        <v>1000</v>
      </c>
      <c r="E57" s="963">
        <v>699</v>
      </c>
    </row>
    <row r="58" spans="1:5" s="131" customFormat="1" ht="12.75">
      <c r="A58" s="127" t="s">
        <v>245</v>
      </c>
      <c r="B58" s="128">
        <v>5000</v>
      </c>
      <c r="C58" s="128">
        <v>5000</v>
      </c>
      <c r="D58" s="128">
        <v>0</v>
      </c>
      <c r="E58" s="963">
        <v>0</v>
      </c>
    </row>
    <row r="59" spans="1:5" s="131" customFormat="1" ht="12.75">
      <c r="A59" s="127" t="s">
        <v>246</v>
      </c>
      <c r="B59" s="128">
        <v>4000</v>
      </c>
      <c r="C59" s="128">
        <v>4000</v>
      </c>
      <c r="D59" s="128">
        <f>4000-978</f>
        <v>3022</v>
      </c>
      <c r="E59" s="963">
        <v>2248</v>
      </c>
    </row>
    <row r="60" spans="1:5" s="131" customFormat="1" ht="12.75">
      <c r="A60" s="127" t="s">
        <v>247</v>
      </c>
      <c r="B60" s="128">
        <v>800</v>
      </c>
      <c r="C60" s="128">
        <v>800</v>
      </c>
      <c r="D60" s="128">
        <f>800+5000+978</f>
        <v>6778</v>
      </c>
      <c r="E60" s="963">
        <v>6778</v>
      </c>
    </row>
    <row r="61" spans="1:5" s="131" customFormat="1" ht="12.75">
      <c r="A61" s="127" t="s">
        <v>248</v>
      </c>
      <c r="B61" s="128">
        <v>2000</v>
      </c>
      <c r="C61" s="128">
        <v>2000</v>
      </c>
      <c r="D61" s="128">
        <v>2000</v>
      </c>
      <c r="E61" s="963">
        <v>0</v>
      </c>
    </row>
    <row r="62" spans="1:5" s="131" customFormat="1" ht="12.75">
      <c r="A62" s="127" t="s">
        <v>249</v>
      </c>
      <c r="B62" s="128">
        <v>6350</v>
      </c>
      <c r="C62" s="128">
        <f>3959-355-219</f>
        <v>3385</v>
      </c>
      <c r="D62" s="128">
        <v>3385</v>
      </c>
      <c r="E62" s="963">
        <v>2931</v>
      </c>
    </row>
    <row r="63" spans="1:5" s="131" customFormat="1" ht="12.75">
      <c r="A63" s="132" t="s">
        <v>250</v>
      </c>
      <c r="B63" s="128">
        <v>14000</v>
      </c>
      <c r="C63" s="128">
        <f>14000-4136</f>
        <v>9864</v>
      </c>
      <c r="D63" s="128">
        <f>9864+201</f>
        <v>10065</v>
      </c>
      <c r="E63" s="963">
        <v>10065</v>
      </c>
    </row>
    <row r="64" spans="1:5" s="131" customFormat="1" ht="12.75">
      <c r="A64" s="132" t="s">
        <v>251</v>
      </c>
      <c r="B64" s="128">
        <v>2880</v>
      </c>
      <c r="C64" s="128">
        <v>2880</v>
      </c>
      <c r="D64" s="128">
        <v>2880</v>
      </c>
      <c r="E64" s="963">
        <v>0</v>
      </c>
    </row>
    <row r="65" spans="1:5" s="131" customFormat="1" ht="12.75">
      <c r="A65" s="132" t="s">
        <v>252</v>
      </c>
      <c r="B65" s="128">
        <v>1440</v>
      </c>
      <c r="C65" s="128">
        <v>1440</v>
      </c>
      <c r="D65" s="128">
        <v>1440</v>
      </c>
      <c r="E65" s="963">
        <v>0</v>
      </c>
    </row>
    <row r="66" spans="1:5" s="131" customFormat="1" ht="12.75">
      <c r="A66" s="132" t="s">
        <v>253</v>
      </c>
      <c r="B66" s="128">
        <v>2500</v>
      </c>
      <c r="C66" s="128">
        <v>2500</v>
      </c>
      <c r="D66" s="128">
        <v>2500</v>
      </c>
      <c r="E66" s="963">
        <v>0</v>
      </c>
    </row>
    <row r="67" spans="1:5" s="131" customFormat="1" ht="12.75">
      <c r="A67" s="132" t="s">
        <v>254</v>
      </c>
      <c r="B67" s="128">
        <v>10000</v>
      </c>
      <c r="C67" s="128">
        <v>10000</v>
      </c>
      <c r="D67" s="128">
        <v>10000</v>
      </c>
      <c r="E67" s="963">
        <v>7451</v>
      </c>
    </row>
    <row r="68" spans="1:5" s="131" customFormat="1" ht="12.75">
      <c r="A68" s="132" t="s">
        <v>255</v>
      </c>
      <c r="B68" s="128">
        <v>251</v>
      </c>
      <c r="C68" s="128">
        <v>0</v>
      </c>
      <c r="D68" s="128">
        <v>0</v>
      </c>
      <c r="E68" s="963">
        <v>0</v>
      </c>
    </row>
    <row r="69" spans="1:5" s="131" customFormat="1" ht="12.75">
      <c r="A69" s="127" t="s">
        <v>256</v>
      </c>
      <c r="B69" s="128">
        <v>3000</v>
      </c>
      <c r="C69" s="128">
        <v>3000</v>
      </c>
      <c r="D69" s="128">
        <v>3000</v>
      </c>
      <c r="E69" s="963">
        <v>1159</v>
      </c>
    </row>
    <row r="70" spans="1:5" s="131" customFormat="1" ht="12.75">
      <c r="A70" s="127" t="s">
        <v>257</v>
      </c>
      <c r="B70" s="128">
        <v>5000</v>
      </c>
      <c r="C70" s="128">
        <v>5000</v>
      </c>
      <c r="D70" s="128">
        <v>5000</v>
      </c>
      <c r="E70" s="963">
        <v>0</v>
      </c>
    </row>
    <row r="71" spans="1:5" s="131" customFormat="1" ht="12.75">
      <c r="A71" s="127" t="s">
        <v>258</v>
      </c>
      <c r="B71" s="128">
        <v>2500</v>
      </c>
      <c r="C71" s="128">
        <v>2500</v>
      </c>
      <c r="D71" s="128">
        <v>2500</v>
      </c>
      <c r="E71" s="963">
        <v>0</v>
      </c>
    </row>
    <row r="72" spans="1:5" s="131" customFormat="1" ht="12.75">
      <c r="A72" s="127" t="s">
        <v>259</v>
      </c>
      <c r="B72" s="128">
        <v>6350</v>
      </c>
      <c r="C72" s="128">
        <v>6350</v>
      </c>
      <c r="D72" s="128">
        <v>6350</v>
      </c>
      <c r="E72" s="963">
        <v>482</v>
      </c>
    </row>
    <row r="73" spans="1:5" s="131" customFormat="1" ht="12.75">
      <c r="A73" s="127" t="s">
        <v>260</v>
      </c>
      <c r="B73" s="128">
        <v>7610</v>
      </c>
      <c r="C73" s="128">
        <v>7610</v>
      </c>
      <c r="D73" s="128">
        <v>7610</v>
      </c>
      <c r="E73" s="963">
        <v>3978</v>
      </c>
    </row>
    <row r="74" spans="1:5" s="131" customFormat="1" ht="12.75">
      <c r="A74" s="127" t="s">
        <v>265</v>
      </c>
      <c r="B74" s="128">
        <v>1000</v>
      </c>
      <c r="C74" s="128">
        <v>0</v>
      </c>
      <c r="D74" s="128">
        <v>0</v>
      </c>
      <c r="E74" s="963">
        <v>0</v>
      </c>
    </row>
    <row r="75" spans="1:5" s="131" customFormat="1" ht="12.75">
      <c r="A75" s="127" t="s">
        <v>266</v>
      </c>
      <c r="B75" s="128">
        <v>1500</v>
      </c>
      <c r="C75" s="128">
        <v>1500</v>
      </c>
      <c r="D75" s="128">
        <v>1500</v>
      </c>
      <c r="E75" s="963">
        <v>366</v>
      </c>
    </row>
    <row r="76" spans="1:5" s="131" customFormat="1" ht="12.75">
      <c r="A76" s="127" t="s">
        <v>267</v>
      </c>
      <c r="B76" s="128">
        <v>20000</v>
      </c>
      <c r="C76" s="128">
        <v>0</v>
      </c>
      <c r="D76" s="128">
        <v>0</v>
      </c>
      <c r="E76" s="963">
        <v>0</v>
      </c>
    </row>
    <row r="77" spans="1:5" s="131" customFormat="1" ht="12.75">
      <c r="A77" s="127" t="s">
        <v>268</v>
      </c>
      <c r="B77" s="128">
        <v>15000</v>
      </c>
      <c r="C77" s="128">
        <v>15000</v>
      </c>
      <c r="D77" s="128">
        <v>0</v>
      </c>
      <c r="E77" s="963">
        <v>0</v>
      </c>
    </row>
    <row r="78" spans="1:5" s="131" customFormat="1" ht="12.75">
      <c r="A78" s="127" t="s">
        <v>269</v>
      </c>
      <c r="B78" s="128">
        <v>4248</v>
      </c>
      <c r="C78" s="128">
        <f>13248+9752</f>
        <v>23000</v>
      </c>
      <c r="D78" s="128">
        <f>23000-9752</f>
        <v>13248</v>
      </c>
      <c r="E78" s="963">
        <v>12811</v>
      </c>
    </row>
    <row r="79" spans="1:5" s="131" customFormat="1" ht="12.75">
      <c r="A79" s="127" t="s">
        <v>270</v>
      </c>
      <c r="B79" s="128">
        <v>15000</v>
      </c>
      <c r="C79" s="128">
        <v>1000</v>
      </c>
      <c r="D79" s="128">
        <v>1000</v>
      </c>
      <c r="E79" s="963">
        <v>724</v>
      </c>
    </row>
    <row r="80" spans="1:5" s="131" customFormat="1" ht="12.75">
      <c r="A80" s="127" t="s">
        <v>555</v>
      </c>
      <c r="B80" s="128"/>
      <c r="C80" s="128">
        <v>370</v>
      </c>
      <c r="D80" s="128">
        <v>370</v>
      </c>
      <c r="E80" s="963">
        <v>370</v>
      </c>
    </row>
    <row r="81" spans="1:5" s="131" customFormat="1" ht="12.75">
      <c r="A81" s="132" t="s">
        <v>556</v>
      </c>
      <c r="B81" s="128"/>
      <c r="C81" s="128">
        <v>4</v>
      </c>
      <c r="D81" s="128">
        <v>4</v>
      </c>
      <c r="E81" s="963">
        <v>4</v>
      </c>
    </row>
    <row r="82" spans="1:5" s="131" customFormat="1" ht="12.75">
      <c r="A82" s="132" t="s">
        <v>739</v>
      </c>
      <c r="B82" s="128"/>
      <c r="C82" s="128">
        <v>8900</v>
      </c>
      <c r="D82" s="128">
        <v>0</v>
      </c>
      <c r="E82" s="963">
        <v>0</v>
      </c>
    </row>
    <row r="83" spans="1:5" s="131" customFormat="1" ht="12.75">
      <c r="A83" s="132" t="s">
        <v>587</v>
      </c>
      <c r="B83" s="128"/>
      <c r="C83" s="128"/>
      <c r="D83" s="128">
        <v>255</v>
      </c>
      <c r="E83" s="963">
        <v>255</v>
      </c>
    </row>
    <row r="84" spans="1:5" s="131" customFormat="1" ht="12.75">
      <c r="A84" s="132" t="s">
        <v>588</v>
      </c>
      <c r="B84" s="128"/>
      <c r="C84" s="128"/>
      <c r="D84" s="128">
        <v>1370</v>
      </c>
      <c r="E84" s="963">
        <v>1370</v>
      </c>
    </row>
    <row r="85" spans="1:5" s="131" customFormat="1" ht="12.75">
      <c r="A85" s="127"/>
      <c r="B85" s="128"/>
      <c r="C85" s="128"/>
      <c r="D85" s="128"/>
      <c r="E85" s="963"/>
    </row>
    <row r="86" spans="1:5" s="126" customFormat="1" ht="12.75">
      <c r="A86" s="129" t="s">
        <v>1240</v>
      </c>
      <c r="B86" s="130">
        <f>SUM(B87)</f>
        <v>1000</v>
      </c>
      <c r="C86" s="130">
        <f>SUM(C87)</f>
        <v>390</v>
      </c>
      <c r="D86" s="130">
        <f>SUM(D87)</f>
        <v>390</v>
      </c>
      <c r="E86" s="964">
        <f>SUM(E87)</f>
        <v>390</v>
      </c>
    </row>
    <row r="87" spans="1:5" s="131" customFormat="1" ht="12.75">
      <c r="A87" s="127" t="s">
        <v>266</v>
      </c>
      <c r="B87" s="128">
        <v>1000</v>
      </c>
      <c r="C87" s="128">
        <v>390</v>
      </c>
      <c r="D87" s="128">
        <v>390</v>
      </c>
      <c r="E87" s="963">
        <v>390</v>
      </c>
    </row>
    <row r="88" spans="1:5" s="131" customFormat="1" ht="12.75">
      <c r="A88" s="127"/>
      <c r="B88" s="128"/>
      <c r="C88" s="128"/>
      <c r="D88" s="128"/>
      <c r="E88" s="963"/>
    </row>
    <row r="89" spans="1:5" s="131" customFormat="1" ht="12.75">
      <c r="A89" s="129" t="s">
        <v>869</v>
      </c>
      <c r="B89" s="128"/>
      <c r="C89" s="130">
        <f>SUM(C90:C91)</f>
        <v>5610</v>
      </c>
      <c r="D89" s="130">
        <f>SUM(D90:D91)</f>
        <v>6510</v>
      </c>
      <c r="E89" s="964">
        <f>SUM(E90:E91)</f>
        <v>6511</v>
      </c>
    </row>
    <row r="90" spans="1:5" s="131" customFormat="1" ht="12.75">
      <c r="A90" s="127" t="s">
        <v>266</v>
      </c>
      <c r="B90" s="128"/>
      <c r="C90" s="128">
        <f>610+833</f>
        <v>1443</v>
      </c>
      <c r="D90" s="128">
        <f>1443+900</f>
        <v>2343</v>
      </c>
      <c r="E90" s="963">
        <v>2344</v>
      </c>
    </row>
    <row r="91" spans="1:5" s="131" customFormat="1" ht="12.75">
      <c r="A91" s="127" t="s">
        <v>782</v>
      </c>
      <c r="B91" s="128"/>
      <c r="C91" s="128">
        <f>5000-833</f>
        <v>4167</v>
      </c>
      <c r="D91" s="128">
        <v>4167</v>
      </c>
      <c r="E91" s="963">
        <v>4167</v>
      </c>
    </row>
    <row r="92" spans="1:5" ht="12.75">
      <c r="A92" s="127"/>
      <c r="B92" s="128"/>
      <c r="C92" s="128"/>
      <c r="D92" s="128"/>
      <c r="E92" s="963"/>
    </row>
    <row r="93" spans="1:5" s="126" customFormat="1" ht="12.75">
      <c r="A93" s="129" t="s">
        <v>271</v>
      </c>
      <c r="B93" s="130">
        <f>SUM(B94:B95)</f>
        <v>4813</v>
      </c>
      <c r="C93" s="130">
        <f>SUM(C94:C101)</f>
        <v>4041</v>
      </c>
      <c r="D93" s="130">
        <f>SUM(D94:D101)</f>
        <v>5653</v>
      </c>
      <c r="E93" s="964">
        <f>SUM(E94:E101)</f>
        <v>5179</v>
      </c>
    </row>
    <row r="94" spans="1:5" s="131" customFormat="1" ht="12.75">
      <c r="A94" s="127" t="s">
        <v>272</v>
      </c>
      <c r="B94" s="128">
        <v>2100</v>
      </c>
      <c r="C94" s="128">
        <v>2100</v>
      </c>
      <c r="D94" s="128">
        <v>2100</v>
      </c>
      <c r="E94" s="963">
        <v>2058</v>
      </c>
    </row>
    <row r="95" spans="1:5" s="131" customFormat="1" ht="12.75">
      <c r="A95" s="127" t="s">
        <v>273</v>
      </c>
      <c r="B95" s="128">
        <v>2713</v>
      </c>
      <c r="C95" s="128">
        <v>0</v>
      </c>
      <c r="D95" s="128">
        <v>0</v>
      </c>
      <c r="E95" s="963"/>
    </row>
    <row r="96" spans="1:5" s="131" customFormat="1" ht="12.75">
      <c r="A96" s="127" t="s">
        <v>783</v>
      </c>
      <c r="B96" s="128"/>
      <c r="C96" s="128">
        <v>285</v>
      </c>
      <c r="D96" s="128">
        <v>285</v>
      </c>
      <c r="E96" s="963"/>
    </row>
    <row r="97" spans="1:5" s="131" customFormat="1" ht="12.75">
      <c r="A97" s="127" t="s">
        <v>740</v>
      </c>
      <c r="B97" s="128"/>
      <c r="C97" s="128">
        <v>126</v>
      </c>
      <c r="D97" s="128">
        <v>126</v>
      </c>
      <c r="E97" s="963">
        <v>126</v>
      </c>
    </row>
    <row r="98" spans="1:5" s="131" customFormat="1" ht="12.75">
      <c r="A98" s="127" t="s">
        <v>741</v>
      </c>
      <c r="B98" s="128"/>
      <c r="C98" s="128">
        <v>530</v>
      </c>
      <c r="D98" s="128">
        <f>530+1475</f>
        <v>2005</v>
      </c>
      <c r="E98" s="963">
        <v>2005</v>
      </c>
    </row>
    <row r="99" spans="1:5" s="131" customFormat="1" ht="12.75">
      <c r="A99" s="127" t="s">
        <v>742</v>
      </c>
      <c r="B99" s="128"/>
      <c r="C99" s="128">
        <v>1000</v>
      </c>
      <c r="D99" s="128">
        <v>1000</v>
      </c>
      <c r="E99" s="963">
        <v>752</v>
      </c>
    </row>
    <row r="100" spans="1:5" s="131" customFormat="1" ht="12.75">
      <c r="A100" s="127" t="s">
        <v>1127</v>
      </c>
      <c r="B100" s="128"/>
      <c r="C100" s="128"/>
      <c r="D100" s="128"/>
      <c r="E100" s="963">
        <v>101</v>
      </c>
    </row>
    <row r="101" spans="1:5" s="131" customFormat="1" ht="12.75">
      <c r="A101" s="127" t="s">
        <v>516</v>
      </c>
      <c r="B101" s="128"/>
      <c r="C101" s="128"/>
      <c r="D101" s="128">
        <v>137</v>
      </c>
      <c r="E101" s="963">
        <v>137</v>
      </c>
    </row>
    <row r="102" spans="1:5" s="126" customFormat="1" ht="12.75">
      <c r="A102" s="129"/>
      <c r="B102" s="130"/>
      <c r="C102" s="130"/>
      <c r="D102" s="130"/>
      <c r="E102" s="964"/>
    </row>
    <row r="103" spans="1:5" s="126" customFormat="1" ht="12.75">
      <c r="A103" s="129" t="s">
        <v>871</v>
      </c>
      <c r="B103" s="130">
        <f>SUM(B104)</f>
        <v>1635</v>
      </c>
      <c r="C103" s="130">
        <f>SUM(C104:C104)</f>
        <v>12894</v>
      </c>
      <c r="D103" s="130">
        <f>SUM(D104:D104)</f>
        <v>22894</v>
      </c>
      <c r="E103" s="964">
        <f>SUM(E104:E104)</f>
        <v>13408</v>
      </c>
    </row>
    <row r="104" spans="1:5" s="126" customFormat="1" ht="12.75">
      <c r="A104" s="127" t="s">
        <v>1128</v>
      </c>
      <c r="B104" s="128">
        <v>1635</v>
      </c>
      <c r="C104" s="128">
        <f>8788+4106</f>
        <v>12894</v>
      </c>
      <c r="D104" s="128">
        <v>22894</v>
      </c>
      <c r="E104" s="963">
        <v>13408</v>
      </c>
    </row>
    <row r="105" spans="1:5" s="126" customFormat="1" ht="12.75">
      <c r="A105" s="129"/>
      <c r="B105" s="130"/>
      <c r="C105" s="130"/>
      <c r="D105" s="130"/>
      <c r="E105" s="964"/>
    </row>
    <row r="106" spans="1:5" s="966" customFormat="1" ht="13.5" thickBot="1">
      <c r="A106" s="134" t="s">
        <v>198</v>
      </c>
      <c r="B106" s="165">
        <f>SUM(B7,B86,B93,B103)</f>
        <v>2136937</v>
      </c>
      <c r="C106" s="165">
        <f>SUM(C7,C86,C89,C93,C103)</f>
        <v>3314852</v>
      </c>
      <c r="D106" s="165">
        <f>SUM(D7,D86,D89,D93,D103)</f>
        <v>744494</v>
      </c>
      <c r="E106" s="965">
        <f>SUM(E7,E86,E89,E93,E103)</f>
        <v>682607</v>
      </c>
    </row>
    <row r="108" ht="12.75">
      <c r="A108" s="135"/>
    </row>
    <row r="109" spans="1:5" ht="15.75">
      <c r="A109" s="1471" t="s">
        <v>274</v>
      </c>
      <c r="B109" s="1471"/>
      <c r="C109" s="1471"/>
      <c r="D109" s="1471"/>
      <c r="E109" s="1471"/>
    </row>
    <row r="110" spans="1:5" ht="15.75">
      <c r="A110" s="1472" t="s">
        <v>215</v>
      </c>
      <c r="B110" s="1472"/>
      <c r="C110" s="1472"/>
      <c r="D110" s="1472"/>
      <c r="E110" s="1472"/>
    </row>
    <row r="111" ht="13.5" thickBot="1">
      <c r="A111" s="135"/>
    </row>
    <row r="112" spans="1:5" ht="12.75">
      <c r="A112" s="124" t="s">
        <v>216</v>
      </c>
      <c r="B112" s="125" t="s">
        <v>873</v>
      </c>
      <c r="C112" s="125" t="s">
        <v>1125</v>
      </c>
      <c r="D112" s="125" t="s">
        <v>33</v>
      </c>
      <c r="E112" s="962" t="s">
        <v>321</v>
      </c>
    </row>
    <row r="113" spans="1:5" ht="12.75">
      <c r="A113" s="127"/>
      <c r="B113" s="128"/>
      <c r="C113" s="128"/>
      <c r="D113" s="128"/>
      <c r="E113" s="963"/>
    </row>
    <row r="114" spans="1:5" ht="12.75">
      <c r="A114" s="129" t="s">
        <v>867</v>
      </c>
      <c r="B114" s="130">
        <f>SUM(B116,B135)</f>
        <v>2250302</v>
      </c>
      <c r="C114" s="130">
        <f>SUM(C116,C135)</f>
        <v>0</v>
      </c>
      <c r="D114" s="130">
        <f>SUM(D116,D135)</f>
        <v>0</v>
      </c>
      <c r="E114" s="964">
        <f>SUM(E116,E135)</f>
        <v>0</v>
      </c>
    </row>
    <row r="115" spans="1:5" s="137" customFormat="1" ht="12.75">
      <c r="A115" s="136"/>
      <c r="B115" s="128"/>
      <c r="C115" s="128"/>
      <c r="D115" s="128"/>
      <c r="E115" s="963"/>
    </row>
    <row r="116" spans="1:5" s="137" customFormat="1" ht="12.75">
      <c r="A116" s="138" t="s">
        <v>217</v>
      </c>
      <c r="B116" s="130">
        <f>SUM(B117:B133)</f>
        <v>2220550</v>
      </c>
      <c r="C116" s="130">
        <f>SUM(C117:C133)</f>
        <v>0</v>
      </c>
      <c r="D116" s="130">
        <f>SUM(D117:D133)</f>
        <v>0</v>
      </c>
      <c r="E116" s="964">
        <f>SUM(E117:E133)</f>
        <v>0</v>
      </c>
    </row>
    <row r="117" spans="1:5" ht="12.75">
      <c r="A117" s="127" t="s">
        <v>275</v>
      </c>
      <c r="B117" s="128">
        <v>185000</v>
      </c>
      <c r="C117" s="128">
        <v>0</v>
      </c>
      <c r="D117" s="128">
        <v>0</v>
      </c>
      <c r="E117" s="963">
        <v>0</v>
      </c>
    </row>
    <row r="118" spans="1:5" ht="12.75">
      <c r="A118" s="132" t="s">
        <v>276</v>
      </c>
      <c r="B118" s="128">
        <v>1102640</v>
      </c>
      <c r="C118" s="128">
        <v>0</v>
      </c>
      <c r="D118" s="128">
        <v>0</v>
      </c>
      <c r="E118" s="963">
        <v>0</v>
      </c>
    </row>
    <row r="119" spans="1:5" ht="12.75">
      <c r="A119" s="127" t="s">
        <v>277</v>
      </c>
      <c r="B119" s="128">
        <v>116000</v>
      </c>
      <c r="C119" s="128">
        <v>0</v>
      </c>
      <c r="D119" s="128">
        <v>0</v>
      </c>
      <c r="E119" s="963">
        <v>0</v>
      </c>
    </row>
    <row r="120" spans="1:5" s="137" customFormat="1" ht="12.75">
      <c r="A120" s="132" t="s">
        <v>279</v>
      </c>
      <c r="B120" s="128">
        <v>65433</v>
      </c>
      <c r="C120" s="128">
        <v>0</v>
      </c>
      <c r="D120" s="128">
        <v>0</v>
      </c>
      <c r="E120" s="963">
        <v>0</v>
      </c>
    </row>
    <row r="121" spans="1:5" ht="12.75">
      <c r="A121" s="127" t="s">
        <v>280</v>
      </c>
      <c r="B121" s="128">
        <v>90625</v>
      </c>
      <c r="C121" s="128">
        <v>0</v>
      </c>
      <c r="D121" s="128">
        <v>0</v>
      </c>
      <c r="E121" s="963">
        <v>0</v>
      </c>
    </row>
    <row r="122" spans="1:5" ht="25.5">
      <c r="A122" s="132" t="s">
        <v>340</v>
      </c>
      <c r="B122" s="128">
        <v>49966</v>
      </c>
      <c r="C122" s="128">
        <f>3616-3616</f>
        <v>0</v>
      </c>
      <c r="D122" s="128">
        <f>3616-3616</f>
        <v>0</v>
      </c>
      <c r="E122" s="963">
        <v>0</v>
      </c>
    </row>
    <row r="123" spans="1:5" ht="12.75">
      <c r="A123" s="132" t="s">
        <v>341</v>
      </c>
      <c r="B123" s="128">
        <v>15000</v>
      </c>
      <c r="C123" s="128">
        <f>15000-15000</f>
        <v>0</v>
      </c>
      <c r="D123" s="128">
        <f>15000-15000</f>
        <v>0</v>
      </c>
      <c r="E123" s="963">
        <v>0</v>
      </c>
    </row>
    <row r="124" spans="1:5" ht="12.75">
      <c r="A124" s="132" t="s">
        <v>342</v>
      </c>
      <c r="B124" s="128">
        <v>44957</v>
      </c>
      <c r="C124" s="128">
        <f>44957-44957</f>
        <v>0</v>
      </c>
      <c r="D124" s="128">
        <f>44957-44957</f>
        <v>0</v>
      </c>
      <c r="E124" s="963">
        <v>0</v>
      </c>
    </row>
    <row r="125" spans="1:5" s="131" customFormat="1" ht="12.75">
      <c r="A125" s="127" t="s">
        <v>343</v>
      </c>
      <c r="B125" s="128">
        <v>138121</v>
      </c>
      <c r="C125" s="128">
        <v>0</v>
      </c>
      <c r="D125" s="128">
        <v>0</v>
      </c>
      <c r="E125" s="963">
        <v>0</v>
      </c>
    </row>
    <row r="126" spans="1:5" ht="12.75">
      <c r="A126" s="132" t="s">
        <v>344</v>
      </c>
      <c r="B126" s="128">
        <v>52290</v>
      </c>
      <c r="C126" s="128">
        <f>52290-52290</f>
        <v>0</v>
      </c>
      <c r="D126" s="128">
        <f>52290-52290</f>
        <v>0</v>
      </c>
      <c r="E126" s="963">
        <v>0</v>
      </c>
    </row>
    <row r="127" spans="1:5" ht="12.75">
      <c r="A127" s="132" t="s">
        <v>218</v>
      </c>
      <c r="B127" s="128">
        <v>115000</v>
      </c>
      <c r="C127" s="128">
        <v>0</v>
      </c>
      <c r="D127" s="128">
        <v>0</v>
      </c>
      <c r="E127" s="963">
        <v>0</v>
      </c>
    </row>
    <row r="128" spans="1:5" s="131" customFormat="1" ht="12.75">
      <c r="A128" s="127" t="s">
        <v>345</v>
      </c>
      <c r="B128" s="128">
        <v>30000</v>
      </c>
      <c r="C128" s="128">
        <v>0</v>
      </c>
      <c r="D128" s="128">
        <v>0</v>
      </c>
      <c r="E128" s="963">
        <v>0</v>
      </c>
    </row>
    <row r="129" spans="1:5" s="131" customFormat="1" ht="25.5">
      <c r="A129" s="132" t="s">
        <v>346</v>
      </c>
      <c r="B129" s="128">
        <v>72605</v>
      </c>
      <c r="C129" s="128">
        <v>0</v>
      </c>
      <c r="D129" s="128">
        <v>0</v>
      </c>
      <c r="E129" s="963">
        <v>0</v>
      </c>
    </row>
    <row r="130" spans="1:5" ht="12.75">
      <c r="A130" s="127" t="s">
        <v>221</v>
      </c>
      <c r="B130" s="128">
        <v>88000</v>
      </c>
      <c r="C130" s="128">
        <v>0</v>
      </c>
      <c r="D130" s="128">
        <v>0</v>
      </c>
      <c r="E130" s="963">
        <v>0</v>
      </c>
    </row>
    <row r="131" spans="1:5" ht="12.75">
      <c r="A131" s="127" t="s">
        <v>227</v>
      </c>
      <c r="B131" s="128">
        <v>40339</v>
      </c>
      <c r="C131" s="128">
        <v>0</v>
      </c>
      <c r="D131" s="128">
        <v>0</v>
      </c>
      <c r="E131" s="963">
        <v>0</v>
      </c>
    </row>
    <row r="132" spans="1:5" ht="12.75">
      <c r="A132" s="127" t="s">
        <v>229</v>
      </c>
      <c r="B132" s="128">
        <v>7000</v>
      </c>
      <c r="C132" s="128">
        <v>0</v>
      </c>
      <c r="D132" s="128">
        <v>0</v>
      </c>
      <c r="E132" s="963">
        <v>0</v>
      </c>
    </row>
    <row r="133" spans="1:5" ht="12.75">
      <c r="A133" s="127" t="s">
        <v>230</v>
      </c>
      <c r="B133" s="128">
        <v>7574</v>
      </c>
      <c r="C133" s="128">
        <v>0</v>
      </c>
      <c r="D133" s="128">
        <v>0</v>
      </c>
      <c r="E133" s="963">
        <v>0</v>
      </c>
    </row>
    <row r="134" spans="1:5" ht="12.75">
      <c r="A134" s="132"/>
      <c r="B134" s="128"/>
      <c r="C134" s="128"/>
      <c r="D134" s="128"/>
      <c r="E134" s="963"/>
    </row>
    <row r="135" spans="1:5" ht="12.75">
      <c r="A135" s="129" t="s">
        <v>236</v>
      </c>
      <c r="B135" s="130">
        <f>SUM(B136:B137)</f>
        <v>29752</v>
      </c>
      <c r="C135" s="130">
        <f>SUM(C136:C137)</f>
        <v>0</v>
      </c>
      <c r="D135" s="130">
        <f>SUM(D136:D137)</f>
        <v>0</v>
      </c>
      <c r="E135" s="964">
        <f>SUM(E136:E137)</f>
        <v>0</v>
      </c>
    </row>
    <row r="136" spans="1:5" s="131" customFormat="1" ht="12.75">
      <c r="A136" s="132" t="s">
        <v>347</v>
      </c>
      <c r="B136" s="128">
        <v>20000</v>
      </c>
      <c r="C136" s="128">
        <v>0</v>
      </c>
      <c r="D136" s="128">
        <v>0</v>
      </c>
      <c r="E136" s="963">
        <v>0</v>
      </c>
    </row>
    <row r="137" spans="1:5" s="131" customFormat="1" ht="12.75">
      <c r="A137" s="132" t="s">
        <v>269</v>
      </c>
      <c r="B137" s="128">
        <v>9752</v>
      </c>
      <c r="C137" s="128">
        <v>0</v>
      </c>
      <c r="D137" s="128">
        <v>0</v>
      </c>
      <c r="E137" s="963">
        <v>0</v>
      </c>
    </row>
    <row r="138" spans="1:5" s="137" customFormat="1" ht="12.75">
      <c r="A138" s="127"/>
      <c r="B138" s="128"/>
      <c r="C138" s="128"/>
      <c r="D138" s="128"/>
      <c r="E138" s="963"/>
    </row>
    <row r="139" spans="1:5" s="966" customFormat="1" ht="13.5" thickBot="1">
      <c r="A139" s="134" t="s">
        <v>198</v>
      </c>
      <c r="B139" s="165">
        <f>SUM(B114)</f>
        <v>2250302</v>
      </c>
      <c r="C139" s="165">
        <f>SUM(C114)</f>
        <v>0</v>
      </c>
      <c r="D139" s="165">
        <f>SUM(D114)</f>
        <v>0</v>
      </c>
      <c r="E139" s="965">
        <f>SUM(E114)</f>
        <v>0</v>
      </c>
    </row>
    <row r="140" spans="2:5" s="137" customFormat="1" ht="12.75">
      <c r="B140" s="139"/>
      <c r="C140" s="139"/>
      <c r="D140" s="139"/>
      <c r="E140" s="967"/>
    </row>
    <row r="141" spans="2:5" s="137" customFormat="1" ht="12.75">
      <c r="B141" s="139"/>
      <c r="C141" s="139"/>
      <c r="D141" s="139"/>
      <c r="E141" s="967"/>
    </row>
    <row r="142" spans="2:5" s="137" customFormat="1" ht="12.75">
      <c r="B142" s="139"/>
      <c r="C142" s="139"/>
      <c r="D142" s="139"/>
      <c r="E142" s="967"/>
    </row>
    <row r="143" spans="2:5" s="137" customFormat="1" ht="12.75">
      <c r="B143" s="139"/>
      <c r="C143" s="139"/>
      <c r="D143" s="139"/>
      <c r="E143" s="967"/>
    </row>
    <row r="144" spans="2:5" s="137" customFormat="1" ht="12.75">
      <c r="B144" s="139"/>
      <c r="C144" s="139"/>
      <c r="D144" s="139"/>
      <c r="E144" s="967"/>
    </row>
    <row r="145" spans="2:5" s="137" customFormat="1" ht="12.75">
      <c r="B145" s="139"/>
      <c r="C145" s="139"/>
      <c r="D145" s="139"/>
      <c r="E145" s="967"/>
    </row>
    <row r="146" spans="2:5" s="137" customFormat="1" ht="12.75">
      <c r="B146" s="139"/>
      <c r="C146" s="139"/>
      <c r="D146" s="139"/>
      <c r="E146" s="967"/>
    </row>
    <row r="147" spans="2:5" s="137" customFormat="1" ht="12.75">
      <c r="B147" s="139"/>
      <c r="C147" s="139"/>
      <c r="D147" s="139"/>
      <c r="E147" s="967"/>
    </row>
    <row r="148" spans="2:5" s="137" customFormat="1" ht="12.75">
      <c r="B148" s="139"/>
      <c r="C148" s="139"/>
      <c r="D148" s="139"/>
      <c r="E148" s="967"/>
    </row>
    <row r="149" spans="2:5" s="137" customFormat="1" ht="12.75">
      <c r="B149" s="139"/>
      <c r="C149" s="139"/>
      <c r="D149" s="139"/>
      <c r="E149" s="967"/>
    </row>
    <row r="150" spans="2:5" s="137" customFormat="1" ht="12.75">
      <c r="B150" s="139"/>
      <c r="C150" s="139"/>
      <c r="D150" s="139"/>
      <c r="E150" s="967"/>
    </row>
    <row r="151" spans="2:5" s="137" customFormat="1" ht="12.75">
      <c r="B151" s="139"/>
      <c r="C151" s="139"/>
      <c r="D151" s="139"/>
      <c r="E151" s="967"/>
    </row>
    <row r="152" spans="2:5" s="137" customFormat="1" ht="12.75">
      <c r="B152" s="139"/>
      <c r="C152" s="139"/>
      <c r="D152" s="139"/>
      <c r="E152" s="967"/>
    </row>
    <row r="153" spans="2:5" s="137" customFormat="1" ht="12.75">
      <c r="B153" s="139"/>
      <c r="C153" s="139"/>
      <c r="D153" s="139"/>
      <c r="E153" s="967"/>
    </row>
    <row r="154" spans="2:5" s="137" customFormat="1" ht="12.75">
      <c r="B154" s="139"/>
      <c r="C154" s="139"/>
      <c r="D154" s="139"/>
      <c r="E154" s="967"/>
    </row>
    <row r="155" spans="2:5" s="137" customFormat="1" ht="12.75">
      <c r="B155" s="139"/>
      <c r="C155" s="139"/>
      <c r="D155" s="139"/>
      <c r="E155" s="967"/>
    </row>
    <row r="156" spans="2:5" s="137" customFormat="1" ht="12.75">
      <c r="B156" s="139"/>
      <c r="C156" s="139"/>
      <c r="D156" s="139"/>
      <c r="E156" s="967"/>
    </row>
    <row r="157" spans="2:5" s="137" customFormat="1" ht="12.75">
      <c r="B157" s="139"/>
      <c r="C157" s="139"/>
      <c r="D157" s="139"/>
      <c r="E157" s="967"/>
    </row>
    <row r="158" spans="2:5" s="137" customFormat="1" ht="12.75">
      <c r="B158" s="139"/>
      <c r="C158" s="139"/>
      <c r="D158" s="139"/>
      <c r="E158" s="967"/>
    </row>
    <row r="159" spans="2:5" s="137" customFormat="1" ht="12.75">
      <c r="B159" s="139"/>
      <c r="C159" s="139"/>
      <c r="D159" s="139"/>
      <c r="E159" s="967"/>
    </row>
    <row r="160" spans="2:5" s="137" customFormat="1" ht="12.75">
      <c r="B160" s="139"/>
      <c r="C160" s="139"/>
      <c r="D160" s="139"/>
      <c r="E160" s="967"/>
    </row>
    <row r="161" spans="2:5" s="137" customFormat="1" ht="12.75">
      <c r="B161" s="139"/>
      <c r="C161" s="139"/>
      <c r="D161" s="139"/>
      <c r="E161" s="967"/>
    </row>
    <row r="162" spans="2:5" s="137" customFormat="1" ht="12.75">
      <c r="B162" s="139"/>
      <c r="C162" s="139"/>
      <c r="D162" s="139"/>
      <c r="E162" s="967"/>
    </row>
    <row r="163" spans="2:5" s="137" customFormat="1" ht="12.75">
      <c r="B163" s="139"/>
      <c r="C163" s="139"/>
      <c r="D163" s="139"/>
      <c r="E163" s="967"/>
    </row>
    <row r="164" spans="2:5" s="137" customFormat="1" ht="12.75">
      <c r="B164" s="139"/>
      <c r="C164" s="139"/>
      <c r="D164" s="139"/>
      <c r="E164" s="967"/>
    </row>
    <row r="165" spans="2:5" s="137" customFormat="1" ht="12.75">
      <c r="B165" s="139"/>
      <c r="C165" s="139"/>
      <c r="D165" s="139"/>
      <c r="E165" s="967"/>
    </row>
    <row r="166" spans="2:5" s="137" customFormat="1" ht="12.75">
      <c r="B166" s="139"/>
      <c r="C166" s="139"/>
      <c r="D166" s="139"/>
      <c r="E166" s="967"/>
    </row>
    <row r="167" spans="2:5" s="137" customFormat="1" ht="12.75">
      <c r="B167" s="139"/>
      <c r="C167" s="139"/>
      <c r="D167" s="139"/>
      <c r="E167" s="967"/>
    </row>
    <row r="168" spans="2:5" s="137" customFormat="1" ht="12.75">
      <c r="B168" s="139"/>
      <c r="C168" s="139"/>
      <c r="D168" s="139"/>
      <c r="E168" s="967"/>
    </row>
    <row r="169" spans="2:5" s="137" customFormat="1" ht="12.75">
      <c r="B169" s="139"/>
      <c r="C169" s="139"/>
      <c r="D169" s="139"/>
      <c r="E169" s="967"/>
    </row>
    <row r="170" spans="2:5" s="137" customFormat="1" ht="12.75">
      <c r="B170" s="139"/>
      <c r="C170" s="139"/>
      <c r="D170" s="139"/>
      <c r="E170" s="967"/>
    </row>
    <row r="171" spans="2:5" s="137" customFormat="1" ht="12.75">
      <c r="B171" s="139"/>
      <c r="C171" s="139"/>
      <c r="D171" s="139"/>
      <c r="E171" s="967"/>
    </row>
    <row r="172" spans="2:5" s="137" customFormat="1" ht="12.75">
      <c r="B172" s="139"/>
      <c r="C172" s="139"/>
      <c r="D172" s="139"/>
      <c r="E172" s="967"/>
    </row>
    <row r="173" spans="2:5" s="137" customFormat="1" ht="12.75">
      <c r="B173" s="139"/>
      <c r="C173" s="139"/>
      <c r="D173" s="139"/>
      <c r="E173" s="967"/>
    </row>
    <row r="174" spans="2:5" s="137" customFormat="1" ht="12.75">
      <c r="B174" s="139"/>
      <c r="C174" s="139"/>
      <c r="D174" s="139"/>
      <c r="E174" s="967"/>
    </row>
    <row r="175" spans="2:5" s="137" customFormat="1" ht="12.75">
      <c r="B175" s="139"/>
      <c r="C175" s="139"/>
      <c r="D175" s="139"/>
      <c r="E175" s="967"/>
    </row>
    <row r="176" spans="2:5" s="137" customFormat="1" ht="12.75">
      <c r="B176" s="139"/>
      <c r="C176" s="139"/>
      <c r="D176" s="139"/>
      <c r="E176" s="967"/>
    </row>
    <row r="177" spans="2:5" s="137" customFormat="1" ht="12.75">
      <c r="B177" s="139"/>
      <c r="C177" s="139"/>
      <c r="D177" s="139"/>
      <c r="E177" s="967"/>
    </row>
    <row r="178" spans="2:5" s="137" customFormat="1" ht="12.75">
      <c r="B178" s="139"/>
      <c r="C178" s="139"/>
      <c r="D178" s="139"/>
      <c r="E178" s="967"/>
    </row>
    <row r="179" spans="2:5" s="137" customFormat="1" ht="12.75">
      <c r="B179" s="139"/>
      <c r="C179" s="139"/>
      <c r="D179" s="139"/>
      <c r="E179" s="967"/>
    </row>
    <row r="180" spans="2:5" s="137" customFormat="1" ht="12.75">
      <c r="B180" s="139"/>
      <c r="C180" s="139"/>
      <c r="D180" s="139"/>
      <c r="E180" s="967"/>
    </row>
    <row r="181" spans="2:5" s="137" customFormat="1" ht="12.75">
      <c r="B181" s="139"/>
      <c r="C181" s="139"/>
      <c r="D181" s="139"/>
      <c r="E181" s="967"/>
    </row>
    <row r="182" spans="2:5" s="137" customFormat="1" ht="12.75">
      <c r="B182" s="139"/>
      <c r="C182" s="139"/>
      <c r="D182" s="139"/>
      <c r="E182" s="967"/>
    </row>
    <row r="183" spans="2:5" s="137" customFormat="1" ht="12.75">
      <c r="B183" s="139"/>
      <c r="C183" s="139"/>
      <c r="D183" s="139"/>
      <c r="E183" s="967"/>
    </row>
    <row r="184" spans="2:5" s="137" customFormat="1" ht="12.75">
      <c r="B184" s="139"/>
      <c r="C184" s="139"/>
      <c r="D184" s="139"/>
      <c r="E184" s="967"/>
    </row>
    <row r="185" spans="2:5" s="137" customFormat="1" ht="12.75">
      <c r="B185" s="139"/>
      <c r="C185" s="139"/>
      <c r="D185" s="139"/>
      <c r="E185" s="967"/>
    </row>
    <row r="186" spans="2:5" s="137" customFormat="1" ht="12.75">
      <c r="B186" s="139"/>
      <c r="C186" s="139"/>
      <c r="D186" s="139"/>
      <c r="E186" s="967"/>
    </row>
    <row r="187" spans="2:5" s="137" customFormat="1" ht="12.75">
      <c r="B187" s="139"/>
      <c r="C187" s="139"/>
      <c r="D187" s="139"/>
      <c r="E187" s="967"/>
    </row>
    <row r="188" spans="2:5" s="137" customFormat="1" ht="12.75">
      <c r="B188" s="139"/>
      <c r="C188" s="139"/>
      <c r="D188" s="139"/>
      <c r="E188" s="967"/>
    </row>
    <row r="189" spans="2:5" s="137" customFormat="1" ht="12.75">
      <c r="B189" s="139"/>
      <c r="C189" s="139"/>
      <c r="D189" s="139"/>
      <c r="E189" s="967"/>
    </row>
    <row r="190" spans="2:5" s="137" customFormat="1" ht="12.75">
      <c r="B190" s="139"/>
      <c r="C190" s="139"/>
      <c r="D190" s="139"/>
      <c r="E190" s="967"/>
    </row>
    <row r="191" spans="2:5" s="137" customFormat="1" ht="12.75">
      <c r="B191" s="139"/>
      <c r="C191" s="139"/>
      <c r="D191" s="139"/>
      <c r="E191" s="967"/>
    </row>
    <row r="192" spans="2:5" s="137" customFormat="1" ht="12.75">
      <c r="B192" s="139"/>
      <c r="C192" s="139"/>
      <c r="D192" s="139"/>
      <c r="E192" s="967"/>
    </row>
    <row r="193" spans="2:5" s="137" customFormat="1" ht="12.75">
      <c r="B193" s="139"/>
      <c r="C193" s="139"/>
      <c r="D193" s="139"/>
      <c r="E193" s="967"/>
    </row>
    <row r="194" spans="2:5" s="137" customFormat="1" ht="12.75">
      <c r="B194" s="139"/>
      <c r="C194" s="139"/>
      <c r="D194" s="139"/>
      <c r="E194" s="967"/>
    </row>
    <row r="195" spans="2:5" s="137" customFormat="1" ht="12.75">
      <c r="B195" s="139"/>
      <c r="C195" s="139"/>
      <c r="D195" s="139"/>
      <c r="E195" s="967"/>
    </row>
    <row r="196" spans="2:5" s="137" customFormat="1" ht="12.75">
      <c r="B196" s="139"/>
      <c r="C196" s="139"/>
      <c r="D196" s="139"/>
      <c r="E196" s="967"/>
    </row>
    <row r="197" spans="2:5" s="137" customFormat="1" ht="12.75">
      <c r="B197" s="139"/>
      <c r="C197" s="139"/>
      <c r="D197" s="139"/>
      <c r="E197" s="967"/>
    </row>
    <row r="198" spans="2:5" s="137" customFormat="1" ht="12.75">
      <c r="B198" s="139"/>
      <c r="C198" s="139"/>
      <c r="D198" s="139"/>
      <c r="E198" s="967"/>
    </row>
    <row r="199" spans="2:5" s="137" customFormat="1" ht="12.75">
      <c r="B199" s="139"/>
      <c r="C199" s="139"/>
      <c r="D199" s="139"/>
      <c r="E199" s="967"/>
    </row>
    <row r="200" spans="2:5" s="137" customFormat="1" ht="12.75">
      <c r="B200" s="139"/>
      <c r="C200" s="139"/>
      <c r="D200" s="139"/>
      <c r="E200" s="967"/>
    </row>
    <row r="201" spans="2:5" s="137" customFormat="1" ht="12.75">
      <c r="B201" s="139"/>
      <c r="C201" s="139"/>
      <c r="D201" s="139"/>
      <c r="E201" s="967"/>
    </row>
    <row r="202" spans="2:5" s="137" customFormat="1" ht="12.75">
      <c r="B202" s="139"/>
      <c r="C202" s="139"/>
      <c r="D202" s="139"/>
      <c r="E202" s="967"/>
    </row>
    <row r="203" spans="2:5" s="137" customFormat="1" ht="12.75">
      <c r="B203" s="139"/>
      <c r="C203" s="139"/>
      <c r="D203" s="139"/>
      <c r="E203" s="967"/>
    </row>
    <row r="204" spans="2:5" s="137" customFormat="1" ht="12.75">
      <c r="B204" s="139"/>
      <c r="C204" s="139"/>
      <c r="D204" s="139"/>
      <c r="E204" s="967"/>
    </row>
    <row r="205" spans="2:5" s="137" customFormat="1" ht="12.75">
      <c r="B205" s="139"/>
      <c r="C205" s="139"/>
      <c r="D205" s="139"/>
      <c r="E205" s="967"/>
    </row>
    <row r="206" spans="2:5" s="137" customFormat="1" ht="12.75">
      <c r="B206" s="139"/>
      <c r="C206" s="139"/>
      <c r="D206" s="139"/>
      <c r="E206" s="967"/>
    </row>
    <row r="207" spans="2:5" s="137" customFormat="1" ht="12.75">
      <c r="B207" s="139"/>
      <c r="C207" s="139"/>
      <c r="D207" s="139"/>
      <c r="E207" s="967"/>
    </row>
    <row r="208" spans="2:5" s="137" customFormat="1" ht="12.75">
      <c r="B208" s="139"/>
      <c r="C208" s="139"/>
      <c r="D208" s="139"/>
      <c r="E208" s="967"/>
    </row>
    <row r="209" spans="2:5" s="137" customFormat="1" ht="12.75">
      <c r="B209" s="139"/>
      <c r="C209" s="139"/>
      <c r="D209" s="139"/>
      <c r="E209" s="967"/>
    </row>
    <row r="210" spans="2:5" s="137" customFormat="1" ht="12.75">
      <c r="B210" s="139"/>
      <c r="C210" s="139"/>
      <c r="D210" s="139"/>
      <c r="E210" s="967"/>
    </row>
    <row r="211" spans="2:5" s="137" customFormat="1" ht="12.75">
      <c r="B211" s="139"/>
      <c r="C211" s="139"/>
      <c r="D211" s="139"/>
      <c r="E211" s="967"/>
    </row>
    <row r="212" spans="2:5" s="137" customFormat="1" ht="12.75">
      <c r="B212" s="139"/>
      <c r="C212" s="139"/>
      <c r="D212" s="139"/>
      <c r="E212" s="967"/>
    </row>
    <row r="213" spans="2:5" s="137" customFormat="1" ht="12.75">
      <c r="B213" s="139"/>
      <c r="C213" s="139"/>
      <c r="D213" s="139"/>
      <c r="E213" s="967"/>
    </row>
    <row r="214" spans="2:5" s="137" customFormat="1" ht="12.75">
      <c r="B214" s="139"/>
      <c r="C214" s="139"/>
      <c r="D214" s="139"/>
      <c r="E214" s="967"/>
    </row>
    <row r="215" spans="2:5" s="137" customFormat="1" ht="12.75">
      <c r="B215" s="139"/>
      <c r="C215" s="139"/>
      <c r="D215" s="139"/>
      <c r="E215" s="967"/>
    </row>
    <row r="216" spans="2:5" s="137" customFormat="1" ht="12.75">
      <c r="B216" s="139"/>
      <c r="C216" s="139"/>
      <c r="D216" s="139"/>
      <c r="E216" s="967"/>
    </row>
    <row r="217" spans="2:5" s="137" customFormat="1" ht="12.75">
      <c r="B217" s="139"/>
      <c r="C217" s="139"/>
      <c r="D217" s="139"/>
      <c r="E217" s="967"/>
    </row>
    <row r="218" spans="2:5" s="137" customFormat="1" ht="12.75">
      <c r="B218" s="139"/>
      <c r="C218" s="139"/>
      <c r="D218" s="139"/>
      <c r="E218" s="967"/>
    </row>
    <row r="219" spans="2:5" s="137" customFormat="1" ht="12.75">
      <c r="B219" s="139"/>
      <c r="C219" s="139"/>
      <c r="D219" s="139"/>
      <c r="E219" s="967"/>
    </row>
    <row r="220" spans="2:5" s="137" customFormat="1" ht="12.75">
      <c r="B220" s="139"/>
      <c r="C220" s="139"/>
      <c r="D220" s="139"/>
      <c r="E220" s="967"/>
    </row>
    <row r="221" spans="2:5" s="137" customFormat="1" ht="12.75">
      <c r="B221" s="139"/>
      <c r="C221" s="139"/>
      <c r="D221" s="139"/>
      <c r="E221" s="967"/>
    </row>
    <row r="222" spans="2:5" s="137" customFormat="1" ht="12.75">
      <c r="B222" s="139"/>
      <c r="C222" s="139"/>
      <c r="D222" s="139"/>
      <c r="E222" s="967"/>
    </row>
    <row r="223" spans="2:5" s="137" customFormat="1" ht="12.75">
      <c r="B223" s="139"/>
      <c r="C223" s="139"/>
      <c r="D223" s="139"/>
      <c r="E223" s="967"/>
    </row>
    <row r="224" spans="2:5" s="137" customFormat="1" ht="12.75">
      <c r="B224" s="139"/>
      <c r="C224" s="139"/>
      <c r="D224" s="139"/>
      <c r="E224" s="967"/>
    </row>
    <row r="225" spans="2:5" s="137" customFormat="1" ht="12.75">
      <c r="B225" s="139"/>
      <c r="C225" s="139"/>
      <c r="D225" s="139"/>
      <c r="E225" s="967"/>
    </row>
    <row r="226" spans="2:5" s="137" customFormat="1" ht="12.75">
      <c r="B226" s="139"/>
      <c r="C226" s="139"/>
      <c r="D226" s="139"/>
      <c r="E226" s="967"/>
    </row>
    <row r="227" spans="2:5" s="137" customFormat="1" ht="12.75">
      <c r="B227" s="139"/>
      <c r="C227" s="139"/>
      <c r="D227" s="139"/>
      <c r="E227" s="967"/>
    </row>
    <row r="228" spans="2:5" s="137" customFormat="1" ht="12.75">
      <c r="B228" s="139"/>
      <c r="C228" s="139"/>
      <c r="D228" s="139"/>
      <c r="E228" s="967"/>
    </row>
    <row r="229" spans="2:5" s="137" customFormat="1" ht="12.75">
      <c r="B229" s="139"/>
      <c r="C229" s="139"/>
      <c r="D229" s="139"/>
      <c r="E229" s="967"/>
    </row>
    <row r="230" spans="2:5" s="137" customFormat="1" ht="12.75">
      <c r="B230" s="139"/>
      <c r="C230" s="139"/>
      <c r="D230" s="139"/>
      <c r="E230" s="967"/>
    </row>
    <row r="231" spans="2:5" s="137" customFormat="1" ht="12.75">
      <c r="B231" s="139"/>
      <c r="C231" s="139"/>
      <c r="D231" s="139"/>
      <c r="E231" s="967"/>
    </row>
    <row r="232" spans="2:5" s="137" customFormat="1" ht="12.75">
      <c r="B232" s="139"/>
      <c r="C232" s="139"/>
      <c r="D232" s="139"/>
      <c r="E232" s="967"/>
    </row>
    <row r="233" spans="2:5" s="137" customFormat="1" ht="12.75">
      <c r="B233" s="139"/>
      <c r="C233" s="139"/>
      <c r="D233" s="139"/>
      <c r="E233" s="967"/>
    </row>
    <row r="234" spans="2:5" s="137" customFormat="1" ht="12.75">
      <c r="B234" s="139"/>
      <c r="C234" s="139"/>
      <c r="D234" s="139"/>
      <c r="E234" s="967"/>
    </row>
    <row r="235" spans="2:5" s="137" customFormat="1" ht="12.75">
      <c r="B235" s="139"/>
      <c r="C235" s="139"/>
      <c r="D235" s="139"/>
      <c r="E235" s="967"/>
    </row>
    <row r="236" spans="2:5" s="137" customFormat="1" ht="12.75">
      <c r="B236" s="139"/>
      <c r="C236" s="139"/>
      <c r="D236" s="139"/>
      <c r="E236" s="967"/>
    </row>
    <row r="237" spans="2:5" s="137" customFormat="1" ht="12.75">
      <c r="B237" s="139"/>
      <c r="C237" s="139"/>
      <c r="D237" s="139"/>
      <c r="E237" s="967"/>
    </row>
    <row r="238" spans="2:5" s="137" customFormat="1" ht="12.75">
      <c r="B238" s="139"/>
      <c r="C238" s="139"/>
      <c r="D238" s="139"/>
      <c r="E238" s="967"/>
    </row>
    <row r="239" spans="2:5" s="137" customFormat="1" ht="12.75">
      <c r="B239" s="139"/>
      <c r="C239" s="139"/>
      <c r="D239" s="139"/>
      <c r="E239" s="967"/>
    </row>
    <row r="240" spans="2:5" s="137" customFormat="1" ht="12.75">
      <c r="B240" s="139"/>
      <c r="C240" s="139"/>
      <c r="D240" s="139"/>
      <c r="E240" s="967"/>
    </row>
    <row r="241" spans="2:5" s="137" customFormat="1" ht="12.75">
      <c r="B241" s="139"/>
      <c r="C241" s="139"/>
      <c r="D241" s="139"/>
      <c r="E241" s="967"/>
    </row>
    <row r="242" spans="2:5" s="137" customFormat="1" ht="12.75">
      <c r="B242" s="139"/>
      <c r="C242" s="139"/>
      <c r="D242" s="139"/>
      <c r="E242" s="967"/>
    </row>
    <row r="243" spans="2:5" s="137" customFormat="1" ht="12.75">
      <c r="B243" s="139"/>
      <c r="C243" s="139"/>
      <c r="D243" s="139"/>
      <c r="E243" s="967"/>
    </row>
    <row r="244" spans="2:5" s="137" customFormat="1" ht="12.75">
      <c r="B244" s="139"/>
      <c r="C244" s="139"/>
      <c r="D244" s="139"/>
      <c r="E244" s="967"/>
    </row>
    <row r="245" spans="2:5" s="137" customFormat="1" ht="12.75">
      <c r="B245" s="139"/>
      <c r="C245" s="139"/>
      <c r="D245" s="139"/>
      <c r="E245" s="967"/>
    </row>
    <row r="246" spans="2:5" s="137" customFormat="1" ht="12.75">
      <c r="B246" s="139"/>
      <c r="C246" s="139"/>
      <c r="D246" s="139"/>
      <c r="E246" s="967"/>
    </row>
    <row r="247" spans="2:5" s="137" customFormat="1" ht="12.75">
      <c r="B247" s="139"/>
      <c r="C247" s="139"/>
      <c r="D247" s="139"/>
      <c r="E247" s="967"/>
    </row>
    <row r="248" spans="2:5" s="137" customFormat="1" ht="12.75">
      <c r="B248" s="139"/>
      <c r="C248" s="139"/>
      <c r="D248" s="139"/>
      <c r="E248" s="967"/>
    </row>
    <row r="249" spans="2:5" s="137" customFormat="1" ht="12.75">
      <c r="B249" s="139"/>
      <c r="C249" s="139"/>
      <c r="D249" s="139"/>
      <c r="E249" s="967"/>
    </row>
    <row r="250" spans="2:5" s="137" customFormat="1" ht="12.75">
      <c r="B250" s="139"/>
      <c r="C250" s="139"/>
      <c r="D250" s="139"/>
      <c r="E250" s="967"/>
    </row>
    <row r="251" spans="2:5" s="137" customFormat="1" ht="12.75">
      <c r="B251" s="139"/>
      <c r="C251" s="139"/>
      <c r="D251" s="139"/>
      <c r="E251" s="967"/>
    </row>
    <row r="252" spans="2:5" s="137" customFormat="1" ht="12.75">
      <c r="B252" s="139"/>
      <c r="C252" s="139"/>
      <c r="D252" s="139"/>
      <c r="E252" s="967"/>
    </row>
    <row r="253" spans="2:5" s="137" customFormat="1" ht="12.75">
      <c r="B253" s="139"/>
      <c r="C253" s="139"/>
      <c r="D253" s="139"/>
      <c r="E253" s="967"/>
    </row>
    <row r="254" spans="2:5" s="137" customFormat="1" ht="12.75">
      <c r="B254" s="139"/>
      <c r="C254" s="139"/>
      <c r="D254" s="139"/>
      <c r="E254" s="967"/>
    </row>
    <row r="255" spans="2:5" s="137" customFormat="1" ht="12.75">
      <c r="B255" s="139"/>
      <c r="C255" s="139"/>
      <c r="D255" s="139"/>
      <c r="E255" s="967"/>
    </row>
    <row r="256" spans="2:5" s="137" customFormat="1" ht="12.75">
      <c r="B256" s="139"/>
      <c r="C256" s="139"/>
      <c r="D256" s="139"/>
      <c r="E256" s="967"/>
    </row>
    <row r="257" spans="2:5" s="137" customFormat="1" ht="12.75">
      <c r="B257" s="139"/>
      <c r="C257" s="139"/>
      <c r="D257" s="139"/>
      <c r="E257" s="967"/>
    </row>
    <row r="258" spans="2:5" s="137" customFormat="1" ht="12.75">
      <c r="B258" s="139"/>
      <c r="C258" s="139"/>
      <c r="D258" s="139"/>
      <c r="E258" s="967"/>
    </row>
    <row r="259" spans="2:5" s="137" customFormat="1" ht="12.75">
      <c r="B259" s="139"/>
      <c r="C259" s="139"/>
      <c r="D259" s="139"/>
      <c r="E259" s="967"/>
    </row>
    <row r="260" spans="2:5" s="137" customFormat="1" ht="12.75">
      <c r="B260" s="139"/>
      <c r="C260" s="139"/>
      <c r="D260" s="139"/>
      <c r="E260" s="967"/>
    </row>
    <row r="261" spans="2:5" s="137" customFormat="1" ht="12.75">
      <c r="B261" s="139"/>
      <c r="C261" s="139"/>
      <c r="D261" s="139"/>
      <c r="E261" s="967"/>
    </row>
    <row r="262" spans="2:5" s="137" customFormat="1" ht="12.75">
      <c r="B262" s="139"/>
      <c r="C262" s="139"/>
      <c r="D262" s="139"/>
      <c r="E262" s="967"/>
    </row>
    <row r="263" spans="2:5" s="137" customFormat="1" ht="12.75">
      <c r="B263" s="139"/>
      <c r="C263" s="139"/>
      <c r="D263" s="139"/>
      <c r="E263" s="967"/>
    </row>
    <row r="264" spans="2:5" s="137" customFormat="1" ht="12.75">
      <c r="B264" s="139"/>
      <c r="C264" s="139"/>
      <c r="D264" s="139"/>
      <c r="E264" s="967"/>
    </row>
    <row r="265" spans="2:5" s="137" customFormat="1" ht="12.75">
      <c r="B265" s="139"/>
      <c r="C265" s="139"/>
      <c r="D265" s="139"/>
      <c r="E265" s="967"/>
    </row>
    <row r="266" spans="2:5" s="137" customFormat="1" ht="12.75">
      <c r="B266" s="139"/>
      <c r="C266" s="139"/>
      <c r="D266" s="139"/>
      <c r="E266" s="967"/>
    </row>
    <row r="267" spans="2:5" s="137" customFormat="1" ht="12.75">
      <c r="B267" s="139"/>
      <c r="C267" s="139"/>
      <c r="D267" s="139"/>
      <c r="E267" s="967"/>
    </row>
    <row r="268" spans="2:5" s="137" customFormat="1" ht="12.75">
      <c r="B268" s="139"/>
      <c r="C268" s="139"/>
      <c r="D268" s="139"/>
      <c r="E268" s="967"/>
    </row>
    <row r="269" spans="2:5" s="137" customFormat="1" ht="12.75">
      <c r="B269" s="139"/>
      <c r="C269" s="139"/>
      <c r="D269" s="139"/>
      <c r="E269" s="967"/>
    </row>
    <row r="270" spans="2:5" s="137" customFormat="1" ht="12.75">
      <c r="B270" s="139"/>
      <c r="C270" s="139"/>
      <c r="D270" s="139"/>
      <c r="E270" s="967"/>
    </row>
  </sheetData>
  <sheetProtection/>
  <mergeCells count="4">
    <mergeCell ref="A2:E2"/>
    <mergeCell ref="A3:E3"/>
    <mergeCell ref="A109:E109"/>
    <mergeCell ref="A110:E110"/>
  </mergeCells>
  <printOptions horizontalCentered="1"/>
  <pageMargins left="0.5118110236220472" right="0.2755905511811024" top="0.8661417322834646" bottom="0.5905511811023623" header="0.5511811023622047" footer="0"/>
  <pageSetup horizontalDpi="600" verticalDpi="600" orientation="portrait" paperSize="9" scale="58" r:id="rId1"/>
  <headerFooter alignWithMargins="0">
    <oddHeader>&amp;L8. melléklet a 8/2014.(V.5.) önkormányzati rendelethez</oddHeader>
  </headerFooter>
  <rowBreaks count="1" manualBreakCount="1">
    <brk id="8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69"/>
  <sheetViews>
    <sheetView view="pageLayout" zoomScaleSheetLayoutView="100" workbookViewId="0" topLeftCell="A1">
      <selection activeCell="A3" sqref="A3:E3"/>
    </sheetView>
  </sheetViews>
  <sheetFormatPr defaultColWidth="9.00390625" defaultRowHeight="12.75"/>
  <cols>
    <col min="1" max="1" width="82.00390625" style="137" customWidth="1"/>
    <col min="2" max="2" width="12.25390625" style="139" customWidth="1"/>
    <col min="3" max="3" width="12.25390625" style="139" hidden="1" customWidth="1"/>
    <col min="4" max="4" width="11.875" style="321" customWidth="1"/>
    <col min="5" max="5" width="14.375" style="139" customWidth="1"/>
    <col min="6" max="16384" width="9.125" style="137" customWidth="1"/>
  </cols>
  <sheetData>
    <row r="1" spans="1:3" ht="12.75">
      <c r="A1" s="666"/>
      <c r="B1" s="667"/>
      <c r="C1" s="667"/>
    </row>
    <row r="2" spans="1:5" ht="15.75">
      <c r="A2" s="1473" t="s">
        <v>348</v>
      </c>
      <c r="B2" s="1473"/>
      <c r="C2" s="1473"/>
      <c r="D2" s="1473"/>
      <c r="E2" s="1473"/>
    </row>
    <row r="3" spans="1:5" ht="15.75">
      <c r="A3" s="1474" t="s">
        <v>349</v>
      </c>
      <c r="B3" s="1474"/>
      <c r="C3" s="1474"/>
      <c r="D3" s="1474"/>
      <c r="E3" s="1474"/>
    </row>
    <row r="4" spans="1:3" ht="13.5" thickBot="1">
      <c r="A4" s="667"/>
      <c r="B4" s="321"/>
      <c r="C4" s="321"/>
    </row>
    <row r="5" spans="1:5" ht="12.75">
      <c r="A5" s="124" t="s">
        <v>216</v>
      </c>
      <c r="B5" s="125" t="s">
        <v>873</v>
      </c>
      <c r="C5" s="125" t="s">
        <v>1125</v>
      </c>
      <c r="D5" s="125" t="s">
        <v>33</v>
      </c>
      <c r="E5" s="962" t="s">
        <v>321</v>
      </c>
    </row>
    <row r="6" spans="1:5" ht="12.75">
      <c r="A6" s="127"/>
      <c r="B6" s="128"/>
      <c r="C6" s="128"/>
      <c r="D6" s="128"/>
      <c r="E6" s="968"/>
    </row>
    <row r="7" spans="1:5" ht="12.75">
      <c r="A7" s="129" t="s">
        <v>867</v>
      </c>
      <c r="B7" s="130">
        <f>SUM(B9,B24)</f>
        <v>118226</v>
      </c>
      <c r="C7" s="130">
        <f>SUM(C9,C24)</f>
        <v>154203</v>
      </c>
      <c r="D7" s="130">
        <f>SUM(D9,D24)</f>
        <v>137173</v>
      </c>
      <c r="E7" s="557">
        <f>SUM(E9,E24)</f>
        <v>66465</v>
      </c>
    </row>
    <row r="8" spans="1:5" ht="12.75">
      <c r="A8" s="127"/>
      <c r="B8" s="128"/>
      <c r="C8" s="128"/>
      <c r="D8" s="128"/>
      <c r="E8" s="968"/>
    </row>
    <row r="9" spans="1:5" s="664" customFormat="1" ht="12.75">
      <c r="A9" s="129" t="s">
        <v>231</v>
      </c>
      <c r="B9" s="130">
        <f>SUM(B10:B15)</f>
        <v>18580</v>
      </c>
      <c r="C9" s="130">
        <f>SUM(C10:C22)</f>
        <v>39962</v>
      </c>
      <c r="D9" s="130">
        <f>SUM(D10:D22)</f>
        <v>39962</v>
      </c>
      <c r="E9" s="557">
        <f>SUM(E10:E22)</f>
        <v>11292</v>
      </c>
    </row>
    <row r="10" spans="1:5" ht="12.75">
      <c r="A10" s="127" t="s">
        <v>350</v>
      </c>
      <c r="B10" s="128">
        <v>2480</v>
      </c>
      <c r="C10" s="128">
        <v>2480</v>
      </c>
      <c r="D10" s="128">
        <v>2480</v>
      </c>
      <c r="E10" s="968">
        <v>2480</v>
      </c>
    </row>
    <row r="11" spans="1:5" ht="12.75">
      <c r="A11" s="127" t="s">
        <v>351</v>
      </c>
      <c r="B11" s="128">
        <v>1270</v>
      </c>
      <c r="C11" s="128">
        <v>1270</v>
      </c>
      <c r="D11" s="128">
        <v>1270</v>
      </c>
      <c r="E11" s="968">
        <v>0</v>
      </c>
    </row>
    <row r="12" spans="1:5" ht="12.75">
      <c r="A12" s="127" t="s">
        <v>352</v>
      </c>
      <c r="B12" s="128">
        <v>5000</v>
      </c>
      <c r="C12" s="128">
        <v>5000</v>
      </c>
      <c r="D12" s="128">
        <v>5000</v>
      </c>
      <c r="E12" s="968">
        <v>0</v>
      </c>
    </row>
    <row r="13" spans="1:5" ht="12.75">
      <c r="A13" s="127" t="s">
        <v>353</v>
      </c>
      <c r="B13" s="128">
        <v>3302</v>
      </c>
      <c r="C13" s="128">
        <v>3302</v>
      </c>
      <c r="D13" s="128">
        <v>3302</v>
      </c>
      <c r="E13" s="968">
        <v>3302</v>
      </c>
    </row>
    <row r="14" spans="1:5" ht="12.75">
      <c r="A14" s="127" t="s">
        <v>354</v>
      </c>
      <c r="B14" s="128">
        <v>432</v>
      </c>
      <c r="C14" s="128">
        <v>432</v>
      </c>
      <c r="D14" s="128">
        <v>432</v>
      </c>
      <c r="E14" s="968">
        <v>432</v>
      </c>
    </row>
    <row r="15" spans="1:5" ht="12.75">
      <c r="A15" s="132" t="s">
        <v>355</v>
      </c>
      <c r="B15" s="128">
        <v>6096</v>
      </c>
      <c r="C15" s="128">
        <v>6096</v>
      </c>
      <c r="D15" s="128">
        <v>6096</v>
      </c>
      <c r="E15" s="968">
        <v>1099</v>
      </c>
    </row>
    <row r="16" spans="1:5" ht="12.75">
      <c r="A16" s="132" t="s">
        <v>784</v>
      </c>
      <c r="B16" s="128"/>
      <c r="C16" s="128">
        <f>8000</f>
        <v>8000</v>
      </c>
      <c r="D16" s="128">
        <v>8000</v>
      </c>
      <c r="E16" s="968">
        <v>0</v>
      </c>
    </row>
    <row r="17" spans="1:5" ht="12.75">
      <c r="A17" s="132" t="s">
        <v>786</v>
      </c>
      <c r="B17" s="128"/>
      <c r="C17" s="128">
        <v>900</v>
      </c>
      <c r="D17" s="128">
        <v>900</v>
      </c>
      <c r="E17" s="968">
        <v>0</v>
      </c>
    </row>
    <row r="18" spans="1:5" ht="12.75">
      <c r="A18" s="132" t="s">
        <v>787</v>
      </c>
      <c r="B18" s="128"/>
      <c r="C18" s="128">
        <v>7500</v>
      </c>
      <c r="D18" s="128">
        <v>7500</v>
      </c>
      <c r="E18" s="968">
        <v>0</v>
      </c>
    </row>
    <row r="19" spans="1:5" ht="12.75">
      <c r="A19" s="132" t="s">
        <v>557</v>
      </c>
      <c r="B19" s="128"/>
      <c r="C19" s="128">
        <v>416</v>
      </c>
      <c r="D19" s="128">
        <v>416</v>
      </c>
      <c r="E19" s="968">
        <v>370</v>
      </c>
    </row>
    <row r="20" spans="1:5" ht="12.75">
      <c r="A20" s="132" t="s">
        <v>558</v>
      </c>
      <c r="B20" s="128"/>
      <c r="C20" s="128">
        <v>3609</v>
      </c>
      <c r="D20" s="128">
        <v>3609</v>
      </c>
      <c r="E20" s="968">
        <v>3609</v>
      </c>
    </row>
    <row r="21" spans="1:5" ht="12.75">
      <c r="A21" s="132" t="s">
        <v>559</v>
      </c>
      <c r="B21" s="128"/>
      <c r="C21" s="128">
        <v>0</v>
      </c>
      <c r="D21" s="128">
        <v>0</v>
      </c>
      <c r="E21" s="968">
        <v>0</v>
      </c>
    </row>
    <row r="22" spans="1:5" ht="25.5">
      <c r="A22" s="132" t="s">
        <v>560</v>
      </c>
      <c r="B22" s="128"/>
      <c r="C22" s="128">
        <v>957</v>
      </c>
      <c r="D22" s="128">
        <v>957</v>
      </c>
      <c r="E22" s="968">
        <v>0</v>
      </c>
    </row>
    <row r="23" spans="1:5" ht="12.75">
      <c r="A23" s="127"/>
      <c r="B23" s="128"/>
      <c r="C23" s="128"/>
      <c r="D23" s="128"/>
      <c r="E23" s="968"/>
    </row>
    <row r="24" spans="1:5" ht="12.75">
      <c r="A24" s="129" t="s">
        <v>236</v>
      </c>
      <c r="B24" s="130">
        <f>SUM(B25:B43)</f>
        <v>99646</v>
      </c>
      <c r="C24" s="130">
        <f>SUM(C25:C43)</f>
        <v>114241</v>
      </c>
      <c r="D24" s="130">
        <f>SUM(D25:D43)</f>
        <v>97211</v>
      </c>
      <c r="E24" s="557">
        <f>SUM(E25:E43)</f>
        <v>55173</v>
      </c>
    </row>
    <row r="25" spans="1:5" ht="12.75">
      <c r="A25" s="127" t="s">
        <v>356</v>
      </c>
      <c r="B25" s="128">
        <v>8990</v>
      </c>
      <c r="C25" s="128">
        <v>9702</v>
      </c>
      <c r="D25" s="128">
        <v>9702</v>
      </c>
      <c r="E25" s="968">
        <v>9436</v>
      </c>
    </row>
    <row r="26" spans="1:5" ht="12.75">
      <c r="A26" s="127" t="s">
        <v>360</v>
      </c>
      <c r="B26" s="128">
        <v>8000</v>
      </c>
      <c r="C26" s="128">
        <v>8000</v>
      </c>
      <c r="D26" s="128">
        <v>8000</v>
      </c>
      <c r="E26" s="968">
        <v>4694</v>
      </c>
    </row>
    <row r="27" spans="1:5" ht="12.75">
      <c r="A27" s="127" t="s">
        <v>788</v>
      </c>
      <c r="B27" s="128">
        <v>12500</v>
      </c>
      <c r="C27" s="128">
        <v>28050</v>
      </c>
      <c r="D27" s="128">
        <v>28050</v>
      </c>
      <c r="E27" s="968">
        <v>14664</v>
      </c>
    </row>
    <row r="28" spans="1:5" ht="12.75">
      <c r="A28" s="127" t="s">
        <v>361</v>
      </c>
      <c r="B28" s="128">
        <v>10000</v>
      </c>
      <c r="C28" s="128">
        <v>9400</v>
      </c>
      <c r="D28" s="128">
        <v>9400</v>
      </c>
      <c r="E28" s="968">
        <v>4828</v>
      </c>
    </row>
    <row r="29" spans="1:5" ht="12.75">
      <c r="A29" s="127" t="s">
        <v>362</v>
      </c>
      <c r="B29" s="128">
        <v>10000</v>
      </c>
      <c r="C29" s="128">
        <f>10000-7000</f>
        <v>3000</v>
      </c>
      <c r="D29" s="128">
        <v>3000</v>
      </c>
      <c r="E29" s="968">
        <v>0</v>
      </c>
    </row>
    <row r="30" spans="1:5" ht="12.75">
      <c r="A30" s="127" t="s">
        <v>363</v>
      </c>
      <c r="B30" s="128">
        <v>15240</v>
      </c>
      <c r="C30" s="128">
        <v>0</v>
      </c>
      <c r="D30" s="128">
        <v>0</v>
      </c>
      <c r="E30" s="968">
        <v>0</v>
      </c>
    </row>
    <row r="31" spans="1:5" ht="12.75">
      <c r="A31" s="127" t="s">
        <v>1129</v>
      </c>
      <c r="B31" s="128">
        <v>25000</v>
      </c>
      <c r="C31" s="128">
        <v>19000</v>
      </c>
      <c r="D31" s="128">
        <v>25000</v>
      </c>
      <c r="E31" s="968">
        <v>13201</v>
      </c>
    </row>
    <row r="32" spans="1:5" ht="12.75">
      <c r="A32" s="127" t="s">
        <v>364</v>
      </c>
      <c r="B32" s="128">
        <v>3000</v>
      </c>
      <c r="C32" s="128">
        <v>3000</v>
      </c>
      <c r="D32" s="128">
        <v>3000</v>
      </c>
      <c r="E32" s="968">
        <v>0</v>
      </c>
    </row>
    <row r="33" spans="1:5" ht="25.5">
      <c r="A33" s="132" t="s">
        <v>365</v>
      </c>
      <c r="B33" s="128">
        <v>5000</v>
      </c>
      <c r="C33" s="128">
        <v>5000</v>
      </c>
      <c r="D33" s="128">
        <f>5000-1176</f>
        <v>3824</v>
      </c>
      <c r="E33" s="968">
        <v>2741</v>
      </c>
    </row>
    <row r="34" spans="1:5" ht="12.75">
      <c r="A34" s="132" t="s">
        <v>366</v>
      </c>
      <c r="B34" s="128">
        <v>1016</v>
      </c>
      <c r="C34" s="128">
        <v>1016</v>
      </c>
      <c r="D34" s="128">
        <v>1016</v>
      </c>
      <c r="E34" s="968">
        <v>0</v>
      </c>
    </row>
    <row r="35" spans="1:5" ht="12.75">
      <c r="A35" s="132" t="s">
        <v>367</v>
      </c>
      <c r="B35" s="128">
        <v>900</v>
      </c>
      <c r="C35" s="128">
        <v>900</v>
      </c>
      <c r="D35" s="128">
        <v>900</v>
      </c>
      <c r="E35" s="968">
        <v>890</v>
      </c>
    </row>
    <row r="36" spans="1:5" ht="12.75">
      <c r="A36" s="132" t="s">
        <v>789</v>
      </c>
      <c r="B36" s="128"/>
      <c r="C36" s="128">
        <v>600</v>
      </c>
      <c r="D36" s="128">
        <v>600</v>
      </c>
      <c r="E36" s="968">
        <v>0</v>
      </c>
    </row>
    <row r="37" spans="1:5" ht="12.75">
      <c r="A37" s="132" t="s">
        <v>745</v>
      </c>
      <c r="B37" s="128"/>
      <c r="C37" s="128">
        <f>2391+219</f>
        <v>2610</v>
      </c>
      <c r="D37" s="128">
        <v>2610</v>
      </c>
      <c r="E37" s="968">
        <v>2610</v>
      </c>
    </row>
    <row r="38" spans="1:5" ht="12.75">
      <c r="A38" s="132" t="s">
        <v>561</v>
      </c>
      <c r="B38" s="128"/>
      <c r="C38" s="128">
        <v>445</v>
      </c>
      <c r="D38" s="128">
        <v>445</v>
      </c>
      <c r="E38" s="968">
        <v>445</v>
      </c>
    </row>
    <row r="39" spans="1:5" ht="12.75">
      <c r="A39" s="132" t="s">
        <v>225</v>
      </c>
      <c r="B39" s="128"/>
      <c r="C39" s="128">
        <v>468</v>
      </c>
      <c r="D39" s="128">
        <v>468</v>
      </c>
      <c r="E39" s="968">
        <v>468</v>
      </c>
    </row>
    <row r="40" spans="1:5" ht="12.75">
      <c r="A40" s="132" t="s">
        <v>373</v>
      </c>
      <c r="B40" s="128"/>
      <c r="C40" s="128">
        <v>22000</v>
      </c>
      <c r="D40" s="128">
        <v>0</v>
      </c>
      <c r="E40" s="968">
        <v>0</v>
      </c>
    </row>
    <row r="41" spans="1:5" ht="12.75">
      <c r="A41" s="132" t="s">
        <v>746</v>
      </c>
      <c r="B41" s="128"/>
      <c r="C41" s="128">
        <v>800</v>
      </c>
      <c r="D41" s="128">
        <v>800</v>
      </c>
      <c r="E41" s="968">
        <v>800</v>
      </c>
    </row>
    <row r="42" spans="1:5" ht="12.75">
      <c r="A42" s="132" t="s">
        <v>278</v>
      </c>
      <c r="B42" s="128"/>
      <c r="C42" s="128">
        <v>250</v>
      </c>
      <c r="D42" s="128">
        <v>250</v>
      </c>
      <c r="E42" s="968">
        <v>250</v>
      </c>
    </row>
    <row r="43" spans="1:5" ht="12.75">
      <c r="A43" s="132" t="s">
        <v>586</v>
      </c>
      <c r="B43" s="128"/>
      <c r="C43" s="128"/>
      <c r="D43" s="128">
        <v>146</v>
      </c>
      <c r="E43" s="968">
        <v>146</v>
      </c>
    </row>
    <row r="44" spans="1:5" ht="12.75">
      <c r="A44" s="132"/>
      <c r="B44" s="128"/>
      <c r="C44" s="128"/>
      <c r="D44" s="128"/>
      <c r="E44" s="968"/>
    </row>
    <row r="45" spans="1:5" s="664" customFormat="1" ht="12.75">
      <c r="A45" s="313" t="s">
        <v>869</v>
      </c>
      <c r="B45" s="130"/>
      <c r="C45" s="130">
        <v>0</v>
      </c>
      <c r="D45" s="130">
        <v>0</v>
      </c>
      <c r="E45" s="557">
        <v>0</v>
      </c>
    </row>
    <row r="46" spans="1:5" ht="12.75">
      <c r="A46" s="127"/>
      <c r="B46" s="128"/>
      <c r="C46" s="128"/>
      <c r="D46" s="128"/>
      <c r="E46" s="968"/>
    </row>
    <row r="47" spans="1:5" s="664" customFormat="1" ht="12.75">
      <c r="A47" s="129" t="s">
        <v>271</v>
      </c>
      <c r="B47" s="130">
        <f>SUM(B48:B49)</f>
        <v>9400</v>
      </c>
      <c r="C47" s="130">
        <f>SUM(C48:C49)</f>
        <v>9400</v>
      </c>
      <c r="D47" s="130">
        <f>SUM(D48:D49)</f>
        <v>11284</v>
      </c>
      <c r="E47" s="557">
        <f>SUM(E48:E49)</f>
        <v>11046</v>
      </c>
    </row>
    <row r="48" spans="1:5" ht="12.75">
      <c r="A48" s="127" t="s">
        <v>368</v>
      </c>
      <c r="B48" s="128">
        <v>4400</v>
      </c>
      <c r="C48" s="128">
        <v>4400</v>
      </c>
      <c r="D48" s="128">
        <v>6063</v>
      </c>
      <c r="E48" s="968">
        <v>6063</v>
      </c>
    </row>
    <row r="49" spans="1:5" ht="12.75">
      <c r="A49" s="127" t="s">
        <v>369</v>
      </c>
      <c r="B49" s="128">
        <v>5000</v>
      </c>
      <c r="C49" s="128">
        <v>5000</v>
      </c>
      <c r="D49" s="128">
        <v>5221</v>
      </c>
      <c r="E49" s="968">
        <v>4983</v>
      </c>
    </row>
    <row r="50" spans="1:5" ht="12.75">
      <c r="A50" s="127"/>
      <c r="B50" s="128"/>
      <c r="C50" s="128"/>
      <c r="D50" s="128"/>
      <c r="E50" s="968"/>
    </row>
    <row r="51" spans="1:5" ht="12.75">
      <c r="A51" s="129" t="s">
        <v>871</v>
      </c>
      <c r="B51" s="130">
        <f>SUM(B52:B53)</f>
        <v>10923</v>
      </c>
      <c r="C51" s="130">
        <f>SUM(C52:C53)</f>
        <v>10923</v>
      </c>
      <c r="D51" s="130">
        <f>SUM(D52:D53)</f>
        <v>13423</v>
      </c>
      <c r="E51" s="557">
        <f>SUM(E52:E53)</f>
        <v>0</v>
      </c>
    </row>
    <row r="52" spans="1:5" ht="25.5">
      <c r="A52" s="132" t="s">
        <v>370</v>
      </c>
      <c r="B52" s="128">
        <v>4458</v>
      </c>
      <c r="C52" s="128">
        <v>4458</v>
      </c>
      <c r="D52" s="128">
        <v>4458</v>
      </c>
      <c r="E52" s="968">
        <v>0</v>
      </c>
    </row>
    <row r="53" spans="1:5" ht="12.75">
      <c r="A53" s="127" t="s">
        <v>371</v>
      </c>
      <c r="B53" s="128">
        <v>6465</v>
      </c>
      <c r="C53" s="128">
        <v>6465</v>
      </c>
      <c r="D53" s="128">
        <f>6465+2500</f>
        <v>8965</v>
      </c>
      <c r="E53" s="968">
        <v>0</v>
      </c>
    </row>
    <row r="54" spans="1:5" ht="12.75">
      <c r="A54" s="127"/>
      <c r="B54" s="128"/>
      <c r="C54" s="128"/>
      <c r="D54" s="128"/>
      <c r="E54" s="968"/>
    </row>
    <row r="55" spans="1:5" s="665" customFormat="1" ht="13.5" thickBot="1">
      <c r="A55" s="134" t="s">
        <v>198</v>
      </c>
      <c r="B55" s="165">
        <f>SUM(B7,B47,B51)</f>
        <v>138549</v>
      </c>
      <c r="C55" s="165">
        <f>SUM(C51,C47,C45,C7)</f>
        <v>174526</v>
      </c>
      <c r="D55" s="165">
        <f>SUM(D51,D47,D45,D7)</f>
        <v>161880</v>
      </c>
      <c r="E55" s="556">
        <f>SUM(E51,E47,E45,E7)</f>
        <v>77511</v>
      </c>
    </row>
    <row r="56" spans="1:4" ht="12.75">
      <c r="A56" s="668"/>
      <c r="B56" s="320"/>
      <c r="C56" s="320"/>
      <c r="D56" s="320"/>
    </row>
    <row r="57" spans="1:3" ht="12.75">
      <c r="A57" s="669"/>
      <c r="B57" s="321"/>
      <c r="C57" s="321"/>
    </row>
    <row r="58" spans="1:3" ht="12.75">
      <c r="A58" s="669"/>
      <c r="B58" s="321"/>
      <c r="C58" s="321"/>
    </row>
    <row r="59" spans="1:5" ht="15.75">
      <c r="A59" s="1473" t="s">
        <v>372</v>
      </c>
      <c r="B59" s="1473"/>
      <c r="C59" s="1473"/>
      <c r="D59" s="1473"/>
      <c r="E59" s="1473"/>
    </row>
    <row r="60" spans="1:5" ht="15.75">
      <c r="A60" s="1474" t="s">
        <v>215</v>
      </c>
      <c r="B60" s="1474"/>
      <c r="C60" s="1474"/>
      <c r="D60" s="1474"/>
      <c r="E60" s="1474"/>
    </row>
    <row r="61" spans="1:3" ht="13.5" thickBot="1">
      <c r="A61" s="669"/>
      <c r="B61" s="321"/>
      <c r="C61" s="321"/>
    </row>
    <row r="62" spans="1:5" ht="12.75">
      <c r="A62" s="124" t="s">
        <v>216</v>
      </c>
      <c r="B62" s="125" t="s">
        <v>873</v>
      </c>
      <c r="C62" s="125" t="s">
        <v>1125</v>
      </c>
      <c r="D62" s="125" t="s">
        <v>33</v>
      </c>
      <c r="E62" s="962" t="s">
        <v>321</v>
      </c>
    </row>
    <row r="63" spans="1:5" ht="12.75">
      <c r="A63" s="127"/>
      <c r="B63" s="128"/>
      <c r="C63" s="128"/>
      <c r="D63" s="128"/>
      <c r="E63" s="968"/>
    </row>
    <row r="64" spans="1:5" ht="12.75">
      <c r="A64" s="129" t="s">
        <v>867</v>
      </c>
      <c r="B64" s="130">
        <f>SUM(B66)</f>
        <v>30000</v>
      </c>
      <c r="C64" s="130">
        <f>SUM(C66)</f>
        <v>0</v>
      </c>
      <c r="D64" s="130">
        <f>SUM(D66)</f>
        <v>0</v>
      </c>
      <c r="E64" s="557">
        <f>SUM(E66)</f>
        <v>0</v>
      </c>
    </row>
    <row r="65" spans="1:5" ht="12.75">
      <c r="A65" s="127"/>
      <c r="B65" s="128"/>
      <c r="C65" s="128"/>
      <c r="D65" s="128"/>
      <c r="E65" s="968"/>
    </row>
    <row r="66" spans="1:5" ht="12.75">
      <c r="A66" s="129" t="s">
        <v>236</v>
      </c>
      <c r="B66" s="130">
        <f>SUM(B67:B67)</f>
        <v>30000</v>
      </c>
      <c r="C66" s="130">
        <f>SUM(C67:C67)</f>
        <v>0</v>
      </c>
      <c r="D66" s="130">
        <f>SUM(D67:D67)</f>
        <v>0</v>
      </c>
      <c r="E66" s="557">
        <f>SUM(E67:E67)</f>
        <v>0</v>
      </c>
    </row>
    <row r="67" spans="1:5" ht="12.75">
      <c r="A67" s="127" t="s">
        <v>373</v>
      </c>
      <c r="B67" s="128">
        <v>30000</v>
      </c>
      <c r="C67" s="128">
        <v>0</v>
      </c>
      <c r="D67" s="128">
        <v>0</v>
      </c>
      <c r="E67" s="968">
        <v>0</v>
      </c>
    </row>
    <row r="68" spans="1:5" ht="12.75">
      <c r="A68" s="127"/>
      <c r="B68" s="128"/>
      <c r="C68" s="128"/>
      <c r="D68" s="128"/>
      <c r="E68" s="968"/>
    </row>
    <row r="69" spans="1:5" s="665" customFormat="1" ht="13.5" thickBot="1">
      <c r="A69" s="134" t="s">
        <v>198</v>
      </c>
      <c r="B69" s="165">
        <f>SUM(B64)</f>
        <v>30000</v>
      </c>
      <c r="C69" s="165">
        <f>SUM(C64)</f>
        <v>0</v>
      </c>
      <c r="D69" s="165">
        <f>SUM(D64)</f>
        <v>0</v>
      </c>
      <c r="E69" s="556">
        <f>SUM(E64)</f>
        <v>0</v>
      </c>
    </row>
  </sheetData>
  <sheetProtection/>
  <mergeCells count="4">
    <mergeCell ref="A2:E2"/>
    <mergeCell ref="A3:E3"/>
    <mergeCell ref="A59:E59"/>
    <mergeCell ref="A60:E60"/>
  </mergeCells>
  <printOptions horizontalCentered="1"/>
  <pageMargins left="0.4724409448818898" right="0.2362204724409449" top="0.76" bottom="0.4330708661417323" header="0.5118110236220472" footer="0.5118110236220472"/>
  <pageSetup horizontalDpi="600" verticalDpi="600" orientation="portrait" paperSize="9" scale="77" r:id="rId1"/>
  <headerFooter alignWithMargins="0">
    <oddHeader>&amp;L 9. melléklet a 8/2014.(V.5.)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3"/>
  <sheetViews>
    <sheetView view="pageLayout" zoomScaleSheetLayoutView="100" workbookViewId="0" topLeftCell="A1">
      <selection activeCell="A3" sqref="A3"/>
    </sheetView>
  </sheetViews>
  <sheetFormatPr defaultColWidth="9.00390625" defaultRowHeight="12.75"/>
  <cols>
    <col min="1" max="1" width="64.25390625" style="0" customWidth="1"/>
    <col min="2" max="2" width="10.75390625" style="0" customWidth="1"/>
    <col min="3" max="3" width="11.375" style="0" customWidth="1"/>
    <col min="4" max="4" width="10.75390625" style="0" customWidth="1"/>
    <col min="5" max="5" width="10.25390625" style="0" customWidth="1"/>
    <col min="6" max="6" width="12.625" style="0" customWidth="1"/>
    <col min="7" max="7" width="13.00390625" style="0" customWidth="1"/>
  </cols>
  <sheetData>
    <row r="1" spans="1:7" ht="12.75" customHeight="1">
      <c r="A1" s="1475" t="s">
        <v>374</v>
      </c>
      <c r="B1" s="1475"/>
      <c r="C1" s="1475"/>
      <c r="D1" s="1475"/>
      <c r="E1" s="1475"/>
      <c r="F1" s="1475"/>
      <c r="G1" s="1475"/>
    </row>
    <row r="2" spans="1:6" ht="12.75">
      <c r="A2" s="1475" t="s">
        <v>375</v>
      </c>
      <c r="B2" s="1475"/>
      <c r="C2" s="1475"/>
      <c r="D2" s="1475"/>
      <c r="E2" s="1475"/>
      <c r="F2" s="1475"/>
    </row>
    <row r="3" spans="1:4" ht="16.5" thickBot="1">
      <c r="A3" s="11"/>
      <c r="B3" s="8"/>
      <c r="C3" s="8"/>
      <c r="D3" s="8"/>
    </row>
    <row r="4" spans="1:7" ht="51">
      <c r="A4" s="7" t="s">
        <v>216</v>
      </c>
      <c r="B4" s="146" t="s">
        <v>874</v>
      </c>
      <c r="C4" s="146" t="s">
        <v>74</v>
      </c>
      <c r="D4" s="146" t="s">
        <v>321</v>
      </c>
      <c r="E4" s="147" t="s">
        <v>376</v>
      </c>
      <c r="F4" s="147" t="s">
        <v>75</v>
      </c>
      <c r="G4" s="426" t="s">
        <v>322</v>
      </c>
    </row>
    <row r="5" spans="1:7" ht="15" customHeight="1">
      <c r="A5" s="151" t="s">
        <v>377</v>
      </c>
      <c r="B5" s="142"/>
      <c r="C5" s="142"/>
      <c r="D5" s="142"/>
      <c r="E5" s="143">
        <v>32000</v>
      </c>
      <c r="F5" s="143">
        <v>40091</v>
      </c>
      <c r="G5" s="383">
        <v>40091</v>
      </c>
    </row>
    <row r="6" spans="1:7" ht="15" customHeight="1">
      <c r="A6" s="152" t="s">
        <v>378</v>
      </c>
      <c r="B6" s="143"/>
      <c r="C6" s="143"/>
      <c r="D6" s="143"/>
      <c r="E6" s="143">
        <v>18000</v>
      </c>
      <c r="F6" s="143">
        <v>19034</v>
      </c>
      <c r="G6" s="383">
        <v>19034</v>
      </c>
    </row>
    <row r="7" spans="1:7" ht="15" customHeight="1">
      <c r="A7" s="152" t="s">
        <v>379</v>
      </c>
      <c r="B7" s="143"/>
      <c r="C7" s="143"/>
      <c r="D7" s="143"/>
      <c r="E7" s="143">
        <v>36</v>
      </c>
      <c r="F7" s="143">
        <v>32</v>
      </c>
      <c r="G7" s="383">
        <v>32</v>
      </c>
    </row>
    <row r="8" spans="1:7" ht="15" customHeight="1">
      <c r="A8" s="152" t="s">
        <v>380</v>
      </c>
      <c r="B8" s="143"/>
      <c r="C8" s="143"/>
      <c r="D8" s="143"/>
      <c r="E8" s="143">
        <v>18000</v>
      </c>
      <c r="F8" s="143">
        <v>18637</v>
      </c>
      <c r="G8" s="383">
        <v>18637</v>
      </c>
    </row>
    <row r="9" spans="1:7" ht="15" customHeight="1">
      <c r="A9" s="152" t="s">
        <v>381</v>
      </c>
      <c r="B9" s="143"/>
      <c r="C9" s="143"/>
      <c r="D9" s="143"/>
      <c r="E9" s="143">
        <v>7200</v>
      </c>
      <c r="F9" s="143">
        <v>5635</v>
      </c>
      <c r="G9" s="383">
        <v>5635</v>
      </c>
    </row>
    <row r="10" spans="1:7" ht="15" customHeight="1">
      <c r="A10" s="152" t="s">
        <v>382</v>
      </c>
      <c r="B10" s="143"/>
      <c r="C10" s="143"/>
      <c r="D10" s="143"/>
      <c r="E10" s="143">
        <v>1523</v>
      </c>
      <c r="F10" s="143">
        <v>1621</v>
      </c>
      <c r="G10" s="383">
        <v>1621</v>
      </c>
    </row>
    <row r="11" spans="1:7" ht="15" customHeight="1">
      <c r="A11" s="152" t="s">
        <v>383</v>
      </c>
      <c r="B11" s="143">
        <v>1700</v>
      </c>
      <c r="C11" s="143">
        <v>1324</v>
      </c>
      <c r="D11" s="143">
        <v>1324</v>
      </c>
      <c r="E11" s="143"/>
      <c r="F11" s="143"/>
      <c r="G11" s="383"/>
    </row>
    <row r="12" spans="1:7" ht="15" customHeight="1">
      <c r="A12" s="152" t="s">
        <v>384</v>
      </c>
      <c r="B12" s="143">
        <v>11000</v>
      </c>
      <c r="C12" s="143">
        <v>14304</v>
      </c>
      <c r="D12" s="143">
        <v>12667</v>
      </c>
      <c r="E12" s="143"/>
      <c r="F12" s="143"/>
      <c r="G12" s="383"/>
    </row>
    <row r="13" spans="1:7" ht="15" customHeight="1">
      <c r="A13" s="152" t="s">
        <v>386</v>
      </c>
      <c r="B13" s="143">
        <v>2500</v>
      </c>
      <c r="C13" s="143">
        <v>1500</v>
      </c>
      <c r="D13" s="143">
        <v>1434</v>
      </c>
      <c r="E13" s="143"/>
      <c r="F13" s="143"/>
      <c r="G13" s="383"/>
    </row>
    <row r="14" spans="1:7" ht="15" customHeight="1">
      <c r="A14" s="152" t="s">
        <v>387</v>
      </c>
      <c r="B14" s="143">
        <v>4000</v>
      </c>
      <c r="C14" s="143">
        <v>5336</v>
      </c>
      <c r="D14" s="143">
        <v>5335</v>
      </c>
      <c r="E14" s="143"/>
      <c r="F14" s="143"/>
      <c r="G14" s="383"/>
    </row>
    <row r="15" spans="1:7" ht="15" customHeight="1">
      <c r="A15" s="152" t="s">
        <v>388</v>
      </c>
      <c r="B15" s="143">
        <v>150</v>
      </c>
      <c r="C15" s="143">
        <v>150</v>
      </c>
      <c r="D15" s="143">
        <v>80</v>
      </c>
      <c r="E15" s="143"/>
      <c r="F15" s="143"/>
      <c r="G15" s="383"/>
    </row>
    <row r="16" spans="1:7" ht="15" customHeight="1">
      <c r="A16" s="152" t="s">
        <v>389</v>
      </c>
      <c r="B16" s="143">
        <v>28000</v>
      </c>
      <c r="C16" s="143">
        <v>28706</v>
      </c>
      <c r="D16" s="143">
        <v>28676</v>
      </c>
      <c r="E16" s="143"/>
      <c r="F16" s="143"/>
      <c r="G16" s="383"/>
    </row>
    <row r="17" spans="1:7" ht="15" customHeight="1">
      <c r="A17" s="152" t="s">
        <v>390</v>
      </c>
      <c r="B17" s="143"/>
      <c r="C17" s="143"/>
      <c r="D17" s="143"/>
      <c r="E17" s="143">
        <v>300</v>
      </c>
      <c r="F17" s="143"/>
      <c r="G17" s="383"/>
    </row>
    <row r="18" spans="1:7" s="6" customFormat="1" ht="15" customHeight="1">
      <c r="A18" s="9" t="s">
        <v>392</v>
      </c>
      <c r="B18" s="144">
        <f aca="true" t="shared" si="0" ref="B18:G18">SUM(B5:B17)</f>
        <v>47350</v>
      </c>
      <c r="C18" s="144">
        <f t="shared" si="0"/>
        <v>51320</v>
      </c>
      <c r="D18" s="144">
        <f t="shared" si="0"/>
        <v>49516</v>
      </c>
      <c r="E18" s="144">
        <f t="shared" si="0"/>
        <v>77059</v>
      </c>
      <c r="F18" s="144">
        <f t="shared" si="0"/>
        <v>85050</v>
      </c>
      <c r="G18" s="384">
        <f t="shared" si="0"/>
        <v>85050</v>
      </c>
    </row>
    <row r="19" spans="1:7" ht="15" customHeight="1">
      <c r="A19" s="208"/>
      <c r="B19" s="145"/>
      <c r="C19" s="145"/>
      <c r="D19" s="145"/>
      <c r="E19" s="143"/>
      <c r="F19" s="143"/>
      <c r="G19" s="383"/>
    </row>
    <row r="20" spans="1:7" ht="15" customHeight="1">
      <c r="A20" s="818" t="s">
        <v>483</v>
      </c>
      <c r="B20" s="816"/>
      <c r="C20" s="816"/>
      <c r="D20" s="816">
        <v>10</v>
      </c>
      <c r="E20" s="816"/>
      <c r="F20" s="816"/>
      <c r="G20" s="817"/>
    </row>
    <row r="21" spans="1:7" ht="15" customHeight="1">
      <c r="A21" s="152" t="s">
        <v>393</v>
      </c>
      <c r="B21" s="143">
        <v>4000</v>
      </c>
      <c r="C21" s="143">
        <v>4000</v>
      </c>
      <c r="D21" s="143">
        <v>2462</v>
      </c>
      <c r="E21" s="143"/>
      <c r="F21" s="143"/>
      <c r="G21" s="383"/>
    </row>
    <row r="22" spans="1:7" ht="15" customHeight="1">
      <c r="A22" s="152" t="s">
        <v>394</v>
      </c>
      <c r="B22" s="143">
        <v>2500</v>
      </c>
      <c r="C22" s="143">
        <v>500</v>
      </c>
      <c r="D22" s="143">
        <v>470</v>
      </c>
      <c r="E22" s="143"/>
      <c r="F22" s="143"/>
      <c r="G22" s="383"/>
    </row>
    <row r="23" spans="1:7" ht="15" customHeight="1">
      <c r="A23" s="152" t="s">
        <v>395</v>
      </c>
      <c r="B23" s="143">
        <v>2500</v>
      </c>
      <c r="C23" s="143">
        <v>1652</v>
      </c>
      <c r="D23" s="143">
        <v>1652</v>
      </c>
      <c r="E23" s="143"/>
      <c r="F23" s="143"/>
      <c r="G23" s="383"/>
    </row>
    <row r="24" spans="1:7" ht="15" customHeight="1">
      <c r="A24" s="152" t="s">
        <v>396</v>
      </c>
      <c r="B24" s="143">
        <v>5000</v>
      </c>
      <c r="C24" s="143">
        <v>6884</v>
      </c>
      <c r="D24" s="143">
        <v>6884</v>
      </c>
      <c r="E24" s="143"/>
      <c r="F24" s="143"/>
      <c r="G24" s="383"/>
    </row>
    <row r="25" spans="1:7" s="6" customFormat="1" ht="15" customHeight="1">
      <c r="A25" s="9" t="s">
        <v>397</v>
      </c>
      <c r="B25" s="144">
        <f>SUM(B20:B24)</f>
        <v>14000</v>
      </c>
      <c r="C25" s="144">
        <f>SUM(C20:C24)</f>
        <v>13036</v>
      </c>
      <c r="D25" s="144">
        <f>SUM(D20:D24)</f>
        <v>11478</v>
      </c>
      <c r="E25" s="144">
        <f>SUM(E21+E22+E23+E24)</f>
        <v>0</v>
      </c>
      <c r="F25" s="144">
        <f>SUM(F21+F22+F23+F24)</f>
        <v>0</v>
      </c>
      <c r="G25" s="384">
        <f>SUM(G21+G22+G23+G24)</f>
        <v>0</v>
      </c>
    </row>
    <row r="26" spans="1:7" ht="15" customHeight="1">
      <c r="A26" s="152"/>
      <c r="B26" s="143"/>
      <c r="C26" s="143"/>
      <c r="D26" s="143"/>
      <c r="E26" s="143"/>
      <c r="F26" s="143"/>
      <c r="G26" s="383"/>
    </row>
    <row r="27" spans="1:7" s="6" customFormat="1" ht="15" customHeight="1" thickBot="1">
      <c r="A27" s="153" t="s">
        <v>400</v>
      </c>
      <c r="B27" s="154">
        <f aca="true" t="shared" si="1" ref="B27:G27">SUM(B18+B25)</f>
        <v>61350</v>
      </c>
      <c r="C27" s="154">
        <f>SUM(C18+C25)</f>
        <v>64356</v>
      </c>
      <c r="D27" s="154">
        <f t="shared" si="1"/>
        <v>60994</v>
      </c>
      <c r="E27" s="154">
        <f t="shared" si="1"/>
        <v>77059</v>
      </c>
      <c r="F27" s="154">
        <f>SUM(F18+F25)</f>
        <v>85050</v>
      </c>
      <c r="G27" s="385">
        <f t="shared" si="1"/>
        <v>85050</v>
      </c>
    </row>
    <row r="28" spans="1:4" ht="12.75">
      <c r="A28" s="8"/>
      <c r="B28" s="8"/>
      <c r="C28" s="8"/>
      <c r="D28" s="8"/>
    </row>
    <row r="30" spans="1:7" ht="12.75" customHeight="1">
      <c r="A30" s="1475" t="s">
        <v>1241</v>
      </c>
      <c r="B30" s="1475"/>
      <c r="C30" s="1475"/>
      <c r="D30" s="1475"/>
      <c r="E30" s="1475"/>
      <c r="F30" s="1475"/>
      <c r="G30" s="1475"/>
    </row>
    <row r="31" spans="1:6" ht="12.75">
      <c r="A31" s="1475" t="s">
        <v>375</v>
      </c>
      <c r="B31" s="1475"/>
      <c r="C31" s="1475"/>
      <c r="D31" s="1475"/>
      <c r="E31" s="1475"/>
      <c r="F31" s="1475"/>
    </row>
    <row r="32" spans="1:4" ht="16.5" thickBot="1">
      <c r="A32" s="11"/>
      <c r="B32" s="8"/>
      <c r="C32" s="8"/>
      <c r="D32" s="8"/>
    </row>
    <row r="33" spans="1:7" ht="51">
      <c r="A33" s="7" t="s">
        <v>216</v>
      </c>
      <c r="B33" s="146" t="s">
        <v>874</v>
      </c>
      <c r="C33" s="146" t="s">
        <v>74</v>
      </c>
      <c r="D33" s="146" t="s">
        <v>321</v>
      </c>
      <c r="E33" s="147" t="s">
        <v>376</v>
      </c>
      <c r="F33" s="147" t="s">
        <v>192</v>
      </c>
      <c r="G33" s="426" t="s">
        <v>323</v>
      </c>
    </row>
    <row r="34" spans="1:7" ht="12.75">
      <c r="A34" s="151" t="s">
        <v>377</v>
      </c>
      <c r="B34" s="142">
        <v>40000</v>
      </c>
      <c r="C34" s="142">
        <v>8162</v>
      </c>
      <c r="D34" s="142">
        <v>8162</v>
      </c>
      <c r="E34" s="143"/>
      <c r="F34" s="387"/>
      <c r="G34" s="386"/>
    </row>
    <row r="35" spans="1:7" ht="12.75">
      <c r="A35" s="152" t="s">
        <v>378</v>
      </c>
      <c r="B35" s="143">
        <v>20000</v>
      </c>
      <c r="C35" s="143">
        <v>3442</v>
      </c>
      <c r="D35" s="143">
        <v>3442</v>
      </c>
      <c r="E35" s="143"/>
      <c r="F35" s="387"/>
      <c r="G35" s="386"/>
    </row>
    <row r="36" spans="1:7" ht="12.75">
      <c r="A36" s="152" t="s">
        <v>401</v>
      </c>
      <c r="B36" s="143">
        <v>4000</v>
      </c>
      <c r="C36" s="143">
        <v>566</v>
      </c>
      <c r="D36" s="143">
        <v>566</v>
      </c>
      <c r="E36" s="143"/>
      <c r="F36" s="387"/>
      <c r="G36" s="386"/>
    </row>
    <row r="37" spans="1:7" ht="12.75">
      <c r="A37" s="152" t="s">
        <v>379</v>
      </c>
      <c r="B37" s="143">
        <v>36</v>
      </c>
      <c r="C37" s="143">
        <v>0</v>
      </c>
      <c r="D37" s="143"/>
      <c r="E37" s="143"/>
      <c r="F37" s="387"/>
      <c r="G37" s="386"/>
    </row>
    <row r="38" spans="1:7" ht="12.75">
      <c r="A38" s="152" t="s">
        <v>380</v>
      </c>
      <c r="B38" s="143">
        <v>20000</v>
      </c>
      <c r="C38" s="143">
        <v>3382</v>
      </c>
      <c r="D38" s="143">
        <v>3382</v>
      </c>
      <c r="E38" s="143"/>
      <c r="F38" s="387"/>
      <c r="G38" s="386"/>
    </row>
    <row r="39" spans="1:7" ht="12.75">
      <c r="A39" s="152" t="s">
        <v>402</v>
      </c>
      <c r="B39" s="143">
        <v>8000</v>
      </c>
      <c r="C39" s="143">
        <v>525</v>
      </c>
      <c r="D39" s="143">
        <v>525</v>
      </c>
      <c r="E39" s="143"/>
      <c r="F39" s="387"/>
      <c r="G39" s="386"/>
    </row>
    <row r="40" spans="1:7" ht="12.75">
      <c r="A40" s="152" t="s">
        <v>382</v>
      </c>
      <c r="B40" s="143">
        <v>1901</v>
      </c>
      <c r="C40" s="143">
        <v>2200</v>
      </c>
      <c r="D40" s="143">
        <v>2200</v>
      </c>
      <c r="E40" s="143"/>
      <c r="F40" s="387"/>
      <c r="G40" s="386"/>
    </row>
    <row r="41" spans="1:7" ht="12.75">
      <c r="A41" s="152" t="s">
        <v>403</v>
      </c>
      <c r="B41" s="143">
        <v>127</v>
      </c>
      <c r="C41" s="143">
        <v>0</v>
      </c>
      <c r="D41" s="143"/>
      <c r="E41" s="143"/>
      <c r="F41" s="387"/>
      <c r="G41" s="386"/>
    </row>
    <row r="42" spans="1:7" ht="12.75">
      <c r="A42" s="152" t="s">
        <v>390</v>
      </c>
      <c r="B42" s="143">
        <v>300</v>
      </c>
      <c r="C42" s="143">
        <v>0</v>
      </c>
      <c r="D42" s="143"/>
      <c r="E42" s="143"/>
      <c r="F42" s="387"/>
      <c r="G42" s="386"/>
    </row>
    <row r="43" spans="1:7" ht="13.5" thickBot="1">
      <c r="A43" s="153" t="s">
        <v>392</v>
      </c>
      <c r="B43" s="154">
        <f>SUM(B34:B42)</f>
        <v>94364</v>
      </c>
      <c r="C43" s="154">
        <f>SUM(C34:C42)</f>
        <v>18277</v>
      </c>
      <c r="D43" s="154">
        <f>SUM(D34:D42)</f>
        <v>18277</v>
      </c>
      <c r="E43" s="154">
        <f>SUM(E34:E42)</f>
        <v>0</v>
      </c>
      <c r="F43" s="544">
        <v>0</v>
      </c>
      <c r="G43" s="543">
        <v>0</v>
      </c>
    </row>
    <row r="46" spans="1:7" ht="12.75" customHeight="1">
      <c r="A46" s="1475" t="s">
        <v>404</v>
      </c>
      <c r="B46" s="1475"/>
      <c r="C46" s="1475"/>
      <c r="D46" s="1475"/>
      <c r="E46" s="1475"/>
      <c r="F46" s="1475"/>
      <c r="G46" s="1475"/>
    </row>
    <row r="47" spans="1:6" ht="12.75">
      <c r="A47" s="1475" t="s">
        <v>375</v>
      </c>
      <c r="B47" s="1475"/>
      <c r="C47" s="1475"/>
      <c r="D47" s="1475"/>
      <c r="E47" s="1475"/>
      <c r="F47" s="1475"/>
    </row>
    <row r="48" spans="1:4" ht="16.5" thickBot="1">
      <c r="A48" s="11"/>
      <c r="B48" s="8"/>
      <c r="C48" s="8"/>
      <c r="D48" s="8"/>
    </row>
    <row r="49" spans="1:7" ht="51">
      <c r="A49" s="7" t="s">
        <v>216</v>
      </c>
      <c r="B49" s="146" t="s">
        <v>874</v>
      </c>
      <c r="C49" s="146" t="s">
        <v>33</v>
      </c>
      <c r="D49" s="146" t="s">
        <v>321</v>
      </c>
      <c r="E49" s="147" t="s">
        <v>376</v>
      </c>
      <c r="F49" s="147" t="s">
        <v>1137</v>
      </c>
      <c r="G49" s="426" t="s">
        <v>322</v>
      </c>
    </row>
    <row r="50" spans="1:7" ht="12.75">
      <c r="A50" s="148" t="s">
        <v>405</v>
      </c>
      <c r="B50" s="149"/>
      <c r="C50" s="149"/>
      <c r="D50" s="149"/>
      <c r="E50" s="150"/>
      <c r="F50" s="387"/>
      <c r="G50" s="386"/>
    </row>
    <row r="51" spans="1:7" ht="12.75">
      <c r="A51" s="151" t="s">
        <v>377</v>
      </c>
      <c r="B51" s="142">
        <v>0</v>
      </c>
      <c r="C51" s="142">
        <v>45424</v>
      </c>
      <c r="D51" s="142">
        <v>45316</v>
      </c>
      <c r="E51" s="143"/>
      <c r="F51" s="143"/>
      <c r="G51" s="383"/>
    </row>
    <row r="52" spans="1:7" ht="12.75">
      <c r="A52" s="152" t="s">
        <v>378</v>
      </c>
      <c r="B52" s="143">
        <v>0</v>
      </c>
      <c r="C52" s="143">
        <v>15692</v>
      </c>
      <c r="D52" s="143">
        <v>15113</v>
      </c>
      <c r="E52" s="143"/>
      <c r="F52" s="143"/>
      <c r="G52" s="383"/>
    </row>
    <row r="53" spans="1:7" ht="12.75">
      <c r="A53" s="152" t="s">
        <v>401</v>
      </c>
      <c r="B53" s="143">
        <v>0</v>
      </c>
      <c r="C53" s="143">
        <v>2934</v>
      </c>
      <c r="D53" s="143">
        <v>2662</v>
      </c>
      <c r="E53" s="143"/>
      <c r="F53" s="143"/>
      <c r="G53" s="383"/>
    </row>
    <row r="54" spans="1:7" ht="12.75">
      <c r="A54" s="152" t="s">
        <v>379</v>
      </c>
      <c r="B54" s="143">
        <v>0</v>
      </c>
      <c r="C54" s="143">
        <v>36</v>
      </c>
      <c r="D54" s="143"/>
      <c r="E54" s="143"/>
      <c r="F54" s="143"/>
      <c r="G54" s="383"/>
    </row>
    <row r="55" spans="1:7" ht="12.75">
      <c r="A55" s="152" t="s">
        <v>380</v>
      </c>
      <c r="B55" s="143">
        <v>0</v>
      </c>
      <c r="C55" s="143">
        <v>17255</v>
      </c>
      <c r="D55" s="143">
        <v>15841</v>
      </c>
      <c r="E55" s="143"/>
      <c r="F55" s="143"/>
      <c r="G55" s="383"/>
    </row>
    <row r="56" spans="1:7" ht="12.75">
      <c r="A56" s="152" t="s">
        <v>402</v>
      </c>
      <c r="B56" s="143">
        <v>0</v>
      </c>
      <c r="C56" s="143">
        <v>5910</v>
      </c>
      <c r="D56" s="143">
        <v>5762</v>
      </c>
      <c r="E56" s="143"/>
      <c r="F56" s="143"/>
      <c r="G56" s="383"/>
    </row>
    <row r="57" spans="1:7" ht="12.75">
      <c r="A57" s="152" t="s">
        <v>382</v>
      </c>
      <c r="B57" s="143">
        <v>0</v>
      </c>
      <c r="C57" s="143"/>
      <c r="D57" s="143"/>
      <c r="E57" s="143"/>
      <c r="F57" s="143"/>
      <c r="G57" s="383"/>
    </row>
    <row r="58" spans="1:7" ht="12.75">
      <c r="A58" s="152" t="s">
        <v>403</v>
      </c>
      <c r="B58" s="143">
        <v>0</v>
      </c>
      <c r="C58" s="143">
        <v>127</v>
      </c>
      <c r="D58" s="143"/>
      <c r="E58" s="143"/>
      <c r="F58" s="143"/>
      <c r="G58" s="383"/>
    </row>
    <row r="59" spans="1:7" ht="12.75">
      <c r="A59" s="152" t="s">
        <v>390</v>
      </c>
      <c r="B59" s="143">
        <v>0</v>
      </c>
      <c r="C59" s="143">
        <v>300</v>
      </c>
      <c r="D59" s="143"/>
      <c r="E59" s="143"/>
      <c r="F59" s="143"/>
      <c r="G59" s="383"/>
    </row>
    <row r="60" spans="1:7" ht="12.75">
      <c r="A60" s="152" t="s">
        <v>194</v>
      </c>
      <c r="B60" s="143">
        <v>0</v>
      </c>
      <c r="C60" s="143">
        <v>8259</v>
      </c>
      <c r="D60" s="143">
        <v>8189</v>
      </c>
      <c r="E60" s="143"/>
      <c r="F60" s="143"/>
      <c r="G60" s="383"/>
    </row>
    <row r="61" spans="1:7" s="6" customFormat="1" ht="12.75">
      <c r="A61" s="9" t="s">
        <v>406</v>
      </c>
      <c r="B61" s="144">
        <f>SUM(B51:B60)</f>
        <v>0</v>
      </c>
      <c r="C61" s="144">
        <f>SUM(C51:C60)</f>
        <v>95937</v>
      </c>
      <c r="D61" s="144">
        <f>SUM(D51:D60)</f>
        <v>92883</v>
      </c>
      <c r="E61" s="144">
        <f>SUM(E51:E59)</f>
        <v>0</v>
      </c>
      <c r="F61" s="144">
        <f>SUM(F51:F59)</f>
        <v>0</v>
      </c>
      <c r="G61" s="384">
        <f>SUM(G51:G59)</f>
        <v>0</v>
      </c>
    </row>
    <row r="62" spans="1:7" ht="12.75">
      <c r="A62" s="152"/>
      <c r="B62" s="143"/>
      <c r="C62" s="143"/>
      <c r="D62" s="143"/>
      <c r="E62" s="143"/>
      <c r="F62" s="143"/>
      <c r="G62" s="383"/>
    </row>
    <row r="63" spans="1:7" s="6" customFormat="1" ht="12.75">
      <c r="A63" s="9" t="s">
        <v>407</v>
      </c>
      <c r="B63" s="144"/>
      <c r="C63" s="144"/>
      <c r="D63" s="144"/>
      <c r="E63" s="144"/>
      <c r="F63" s="144"/>
      <c r="G63" s="384"/>
    </row>
    <row r="64" spans="1:7" s="2" customFormat="1" ht="12.75">
      <c r="A64" s="152" t="s">
        <v>377</v>
      </c>
      <c r="B64" s="143">
        <v>0</v>
      </c>
      <c r="C64" s="143">
        <v>2786</v>
      </c>
      <c r="D64" s="143">
        <v>2786</v>
      </c>
      <c r="E64" s="143"/>
      <c r="F64" s="143"/>
      <c r="G64" s="383"/>
    </row>
    <row r="65" spans="1:7" s="2" customFormat="1" ht="12.75">
      <c r="A65" s="152" t="s">
        <v>380</v>
      </c>
      <c r="B65" s="143">
        <v>0</v>
      </c>
      <c r="C65" s="143">
        <v>518</v>
      </c>
      <c r="D65" s="143">
        <v>518</v>
      </c>
      <c r="E65" s="143"/>
      <c r="F65" s="143"/>
      <c r="G65" s="383"/>
    </row>
    <row r="66" spans="1:7" s="2" customFormat="1" ht="12.75">
      <c r="A66" s="152" t="s">
        <v>379</v>
      </c>
      <c r="B66" s="143">
        <v>0</v>
      </c>
      <c r="C66" s="143"/>
      <c r="D66" s="143"/>
      <c r="E66" s="143"/>
      <c r="F66" s="143"/>
      <c r="G66" s="383"/>
    </row>
    <row r="67" spans="1:7" s="2" customFormat="1" ht="12.75">
      <c r="A67" s="152" t="s">
        <v>195</v>
      </c>
      <c r="B67" s="143"/>
      <c r="C67" s="143">
        <v>401</v>
      </c>
      <c r="D67" s="143">
        <v>401</v>
      </c>
      <c r="E67" s="143"/>
      <c r="F67" s="143"/>
      <c r="G67" s="383"/>
    </row>
    <row r="68" spans="1:7" s="6" customFormat="1" ht="12.75">
      <c r="A68" s="9" t="s">
        <v>408</v>
      </c>
      <c r="B68" s="144">
        <f>SUM(B64:B67)</f>
        <v>0</v>
      </c>
      <c r="C68" s="144">
        <f>SUM(C64:C67)</f>
        <v>3705</v>
      </c>
      <c r="D68" s="144">
        <f>SUM(D64:D67)</f>
        <v>3705</v>
      </c>
      <c r="E68" s="144">
        <f>SUM(E66)</f>
        <v>0</v>
      </c>
      <c r="F68" s="144">
        <f>SUM(F66)</f>
        <v>0</v>
      </c>
      <c r="G68" s="384">
        <f>SUM(G66)</f>
        <v>0</v>
      </c>
    </row>
    <row r="69" spans="1:7" ht="12.75">
      <c r="A69" s="152"/>
      <c r="B69" s="143"/>
      <c r="C69" s="143"/>
      <c r="D69" s="143"/>
      <c r="E69" s="143"/>
      <c r="F69" s="143"/>
      <c r="G69" s="383"/>
    </row>
    <row r="70" spans="1:7" s="6" customFormat="1" ht="12.75">
      <c r="A70" s="9" t="s">
        <v>409</v>
      </c>
      <c r="B70" s="144"/>
      <c r="C70" s="144"/>
      <c r="D70" s="144"/>
      <c r="E70" s="144"/>
      <c r="F70" s="144"/>
      <c r="G70" s="384"/>
    </row>
    <row r="71" spans="1:7" s="2" customFormat="1" ht="12.75">
      <c r="A71" s="152" t="s">
        <v>377</v>
      </c>
      <c r="B71" s="143">
        <v>0</v>
      </c>
      <c r="C71" s="143">
        <v>3446</v>
      </c>
      <c r="D71" s="143">
        <v>3445</v>
      </c>
      <c r="E71" s="143"/>
      <c r="F71" s="143"/>
      <c r="G71" s="383"/>
    </row>
    <row r="72" spans="1:7" s="2" customFormat="1" ht="12.75">
      <c r="A72" s="152" t="s">
        <v>380</v>
      </c>
      <c r="B72" s="143">
        <v>0</v>
      </c>
      <c r="C72" s="143">
        <v>820</v>
      </c>
      <c r="D72" s="143">
        <v>820</v>
      </c>
      <c r="E72" s="143"/>
      <c r="F72" s="143"/>
      <c r="G72" s="383"/>
    </row>
    <row r="73" spans="1:7" s="2" customFormat="1" ht="12.75">
      <c r="A73" s="152" t="s">
        <v>410</v>
      </c>
      <c r="B73" s="143">
        <v>0</v>
      </c>
      <c r="C73" s="143"/>
      <c r="D73" s="143"/>
      <c r="E73" s="143"/>
      <c r="F73" s="143"/>
      <c r="G73" s="383"/>
    </row>
    <row r="74" spans="1:7" s="2" customFormat="1" ht="12.75">
      <c r="A74" s="152" t="s">
        <v>195</v>
      </c>
      <c r="B74" s="143">
        <v>0</v>
      </c>
      <c r="C74" s="143">
        <v>380</v>
      </c>
      <c r="D74" s="143">
        <v>378</v>
      </c>
      <c r="E74" s="143"/>
      <c r="F74" s="143"/>
      <c r="G74" s="383"/>
    </row>
    <row r="75" spans="1:7" s="6" customFormat="1" ht="12.75">
      <c r="A75" s="9" t="s">
        <v>411</v>
      </c>
      <c r="B75" s="144">
        <f>SUM(B71:B74)</f>
        <v>0</v>
      </c>
      <c r="C75" s="144">
        <f>SUM(C71:C74)</f>
        <v>4646</v>
      </c>
      <c r="D75" s="144">
        <f>SUM(D71:D74)</f>
        <v>4643</v>
      </c>
      <c r="E75" s="144">
        <f>SUM(E73)</f>
        <v>0</v>
      </c>
      <c r="F75" s="144">
        <f>SUM(F73)</f>
        <v>0</v>
      </c>
      <c r="G75" s="384">
        <f>SUM(G73)</f>
        <v>0</v>
      </c>
    </row>
    <row r="76" spans="1:7" ht="12.75">
      <c r="A76" s="152"/>
      <c r="B76" s="143"/>
      <c r="C76" s="143"/>
      <c r="D76" s="143"/>
      <c r="E76" s="143"/>
      <c r="F76" s="143"/>
      <c r="G76" s="383"/>
    </row>
    <row r="77" spans="1:7" s="6" customFormat="1" ht="12.75">
      <c r="A77" s="9" t="s">
        <v>412</v>
      </c>
      <c r="B77" s="144"/>
      <c r="C77" s="144"/>
      <c r="D77" s="144"/>
      <c r="E77" s="144"/>
      <c r="F77" s="144"/>
      <c r="G77" s="384"/>
    </row>
    <row r="78" spans="1:7" s="2" customFormat="1" ht="12.75">
      <c r="A78" s="152" t="s">
        <v>377</v>
      </c>
      <c r="B78" s="143">
        <v>0</v>
      </c>
      <c r="C78" s="143"/>
      <c r="D78" s="143"/>
      <c r="E78" s="143"/>
      <c r="F78" s="143"/>
      <c r="G78" s="383"/>
    </row>
    <row r="79" spans="1:7" s="2" customFormat="1" ht="12.75">
      <c r="A79" s="152" t="s">
        <v>380</v>
      </c>
      <c r="B79" s="143">
        <v>0</v>
      </c>
      <c r="C79" s="143"/>
      <c r="D79" s="143"/>
      <c r="E79" s="143"/>
      <c r="F79" s="143"/>
      <c r="G79" s="383"/>
    </row>
    <row r="80" spans="1:7" s="2" customFormat="1" ht="12.75">
      <c r="A80" s="152" t="s">
        <v>195</v>
      </c>
      <c r="B80" s="143">
        <v>0</v>
      </c>
      <c r="C80" s="143">
        <v>73</v>
      </c>
      <c r="D80" s="143">
        <v>73</v>
      </c>
      <c r="E80" s="143"/>
      <c r="F80" s="143"/>
      <c r="G80" s="383"/>
    </row>
    <row r="81" spans="1:7" s="6" customFormat="1" ht="12.75">
      <c r="A81" s="9" t="s">
        <v>413</v>
      </c>
      <c r="B81" s="144">
        <f>SUM(B78:B80)</f>
        <v>0</v>
      </c>
      <c r="C81" s="144">
        <f>SUM(C78:C80)</f>
        <v>73</v>
      </c>
      <c r="D81" s="144">
        <f>SUM(D78:D80)</f>
        <v>73</v>
      </c>
      <c r="E81" s="144">
        <f>SUM(E79)</f>
        <v>0</v>
      </c>
      <c r="F81" s="144">
        <f>SUM(F79)</f>
        <v>0</v>
      </c>
      <c r="G81" s="384">
        <f>SUM(G79)</f>
        <v>0</v>
      </c>
    </row>
    <row r="82" spans="1:7" ht="12.75">
      <c r="A82" s="152"/>
      <c r="B82" s="143"/>
      <c r="C82" s="143"/>
      <c r="D82" s="143"/>
      <c r="E82" s="143"/>
      <c r="F82" s="143"/>
      <c r="G82" s="383"/>
    </row>
    <row r="83" spans="1:7" ht="13.5" thickBot="1">
      <c r="A83" s="153" t="s">
        <v>392</v>
      </c>
      <c r="B83" s="154">
        <f aca="true" t="shared" si="2" ref="B83:G83">SUM(B61,B68,B75,B81)</f>
        <v>0</v>
      </c>
      <c r="C83" s="154">
        <f>SUM(C61,C68,C75,C81)</f>
        <v>104361</v>
      </c>
      <c r="D83" s="154">
        <f t="shared" si="2"/>
        <v>101304</v>
      </c>
      <c r="E83" s="154">
        <f t="shared" si="2"/>
        <v>0</v>
      </c>
      <c r="F83" s="154">
        <f>SUM(F61,F68,F75,F81)</f>
        <v>0</v>
      </c>
      <c r="G83" s="385">
        <f t="shared" si="2"/>
        <v>0</v>
      </c>
    </row>
  </sheetData>
  <sheetProtection/>
  <mergeCells count="6">
    <mergeCell ref="A1:G1"/>
    <mergeCell ref="A47:F47"/>
    <mergeCell ref="A2:F2"/>
    <mergeCell ref="A31:F31"/>
    <mergeCell ref="A46:G46"/>
    <mergeCell ref="A30:G30"/>
  </mergeCells>
  <printOptions horizontalCentered="1"/>
  <pageMargins left="0.7874015748031497" right="0.7874015748031497" top="0.63" bottom="0.31496062992125984" header="0.33" footer="0.1968503937007874"/>
  <pageSetup horizontalDpi="600" verticalDpi="600" orientation="portrait" paperSize="9" scale="61" r:id="rId1"/>
  <headerFooter alignWithMargins="0">
    <oddHeader>&amp;L 10. melléklet a 8/2014.(V.5.)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D133"/>
  <sheetViews>
    <sheetView view="pageLayout" zoomScaleSheetLayoutView="100" workbookViewId="0" topLeftCell="A1">
      <selection activeCell="A2" sqref="A2:D2"/>
    </sheetView>
  </sheetViews>
  <sheetFormatPr defaultColWidth="9.00390625" defaultRowHeight="12.75"/>
  <cols>
    <col min="1" max="1" width="95.75390625" style="122" customWidth="1"/>
    <col min="2" max="2" width="10.125" style="123" customWidth="1"/>
    <col min="3" max="3" width="11.375" style="123" customWidth="1"/>
    <col min="4" max="4" width="11.75390625" style="311" customWidth="1"/>
    <col min="5" max="16384" width="9.125" style="122" customWidth="1"/>
  </cols>
  <sheetData>
    <row r="2" spans="1:4" ht="12.75">
      <c r="A2" s="1476" t="s">
        <v>414</v>
      </c>
      <c r="B2" s="1476"/>
      <c r="C2" s="1476"/>
      <c r="D2" s="1476"/>
    </row>
    <row r="3" spans="1:3" ht="12" customHeight="1" thickBot="1">
      <c r="A3" s="155"/>
      <c r="B3" s="156"/>
      <c r="C3" s="156"/>
    </row>
    <row r="4" spans="1:4" ht="12.75" customHeight="1">
      <c r="A4" s="157" t="s">
        <v>415</v>
      </c>
      <c r="B4" s="158" t="s">
        <v>874</v>
      </c>
      <c r="C4" s="388" t="s">
        <v>33</v>
      </c>
      <c r="D4" s="458" t="s">
        <v>321</v>
      </c>
    </row>
    <row r="5" spans="1:4" ht="12.75">
      <c r="A5" s="127" t="s">
        <v>416</v>
      </c>
      <c r="B5" s="128">
        <v>133382</v>
      </c>
      <c r="C5" s="389">
        <v>133382</v>
      </c>
      <c r="D5" s="459">
        <v>133382</v>
      </c>
    </row>
    <row r="6" spans="1:4" ht="12.75">
      <c r="A6" s="127" t="s">
        <v>417</v>
      </c>
      <c r="B6" s="128">
        <v>66104</v>
      </c>
      <c r="C6" s="389">
        <v>79004</v>
      </c>
      <c r="D6" s="459">
        <v>79004</v>
      </c>
    </row>
    <row r="7" spans="1:4" ht="12.75">
      <c r="A7" s="127" t="s">
        <v>398</v>
      </c>
      <c r="B7" s="128">
        <v>5000</v>
      </c>
      <c r="C7" s="389">
        <v>4250</v>
      </c>
      <c r="D7" s="459">
        <v>4250</v>
      </c>
    </row>
    <row r="8" spans="1:4" ht="12.75">
      <c r="A8" s="127" t="s">
        <v>399</v>
      </c>
      <c r="B8" s="128">
        <v>3000</v>
      </c>
      <c r="C8" s="389">
        <v>2400</v>
      </c>
      <c r="D8" s="459">
        <v>2400</v>
      </c>
    </row>
    <row r="9" spans="1:4" ht="12.75" customHeight="1">
      <c r="A9" s="132" t="s">
        <v>491</v>
      </c>
      <c r="B9" s="128">
        <v>3500</v>
      </c>
      <c r="C9" s="389">
        <v>3185</v>
      </c>
      <c r="D9" s="459">
        <v>2750</v>
      </c>
    </row>
    <row r="10" spans="1:4" ht="12.75">
      <c r="A10" s="127" t="s">
        <v>419</v>
      </c>
      <c r="B10" s="128">
        <v>7000</v>
      </c>
      <c r="C10" s="389">
        <v>7000</v>
      </c>
      <c r="D10" s="459">
        <v>7000</v>
      </c>
    </row>
    <row r="11" spans="1:4" ht="12.75">
      <c r="A11" s="127" t="s">
        <v>420</v>
      </c>
      <c r="B11" s="128">
        <v>12000</v>
      </c>
      <c r="C11" s="389">
        <v>13104</v>
      </c>
      <c r="D11" s="459">
        <v>13104</v>
      </c>
    </row>
    <row r="12" spans="1:4" ht="12.75">
      <c r="A12" s="127" t="s">
        <v>421</v>
      </c>
      <c r="B12" s="128">
        <f>61000</f>
        <v>61000</v>
      </c>
      <c r="C12" s="389">
        <v>61000</v>
      </c>
      <c r="D12" s="459">
        <v>61000</v>
      </c>
    </row>
    <row r="13" spans="1:4" ht="12.75">
      <c r="A13" s="127" t="s">
        <v>422</v>
      </c>
      <c r="B13" s="128">
        <v>700</v>
      </c>
      <c r="C13" s="389">
        <v>300</v>
      </c>
      <c r="D13" s="459">
        <v>68</v>
      </c>
    </row>
    <row r="14" spans="1:4" ht="12.75">
      <c r="A14" s="127" t="s">
        <v>423</v>
      </c>
      <c r="B14" s="128">
        <v>4000</v>
      </c>
      <c r="C14" s="389">
        <v>4000</v>
      </c>
      <c r="D14" s="459">
        <v>3715</v>
      </c>
    </row>
    <row r="15" spans="1:4" ht="12.75">
      <c r="A15" s="127" t="s">
        <v>424</v>
      </c>
      <c r="B15" s="128">
        <v>38400</v>
      </c>
      <c r="C15" s="389">
        <v>38400</v>
      </c>
      <c r="D15" s="459">
        <v>38400</v>
      </c>
    </row>
    <row r="16" spans="1:4" ht="12.75">
      <c r="A16" s="127" t="s">
        <v>425</v>
      </c>
      <c r="B16" s="128">
        <v>2000</v>
      </c>
      <c r="C16" s="389">
        <v>3000</v>
      </c>
      <c r="D16" s="459">
        <v>3000</v>
      </c>
    </row>
    <row r="17" spans="1:4" ht="12.75">
      <c r="A17" s="127" t="s">
        <v>426</v>
      </c>
      <c r="B17" s="128">
        <v>1000</v>
      </c>
      <c r="C17" s="389">
        <v>1000</v>
      </c>
      <c r="D17" s="459">
        <v>1000</v>
      </c>
    </row>
    <row r="18" spans="1:4" ht="12.75">
      <c r="A18" s="127" t="s">
        <v>427</v>
      </c>
      <c r="B18" s="128">
        <v>1500</v>
      </c>
      <c r="C18" s="389">
        <v>1500</v>
      </c>
      <c r="D18" s="459">
        <v>1500</v>
      </c>
    </row>
    <row r="19" spans="1:4" ht="12.75">
      <c r="A19" s="127" t="s">
        <v>428</v>
      </c>
      <c r="B19" s="128">
        <v>500</v>
      </c>
      <c r="C19" s="389">
        <v>500</v>
      </c>
      <c r="D19" s="459">
        <v>500</v>
      </c>
    </row>
    <row r="20" spans="1:4" ht="12.75">
      <c r="A20" s="127" t="s">
        <v>429</v>
      </c>
      <c r="B20" s="128">
        <v>1000</v>
      </c>
      <c r="C20" s="389">
        <v>1000</v>
      </c>
      <c r="D20" s="459">
        <v>1000</v>
      </c>
    </row>
    <row r="21" spans="1:4" ht="12.75">
      <c r="A21" s="127" t="s">
        <v>430</v>
      </c>
      <c r="B21" s="128">
        <v>80</v>
      </c>
      <c r="C21" s="389">
        <v>80</v>
      </c>
      <c r="D21" s="459">
        <v>83</v>
      </c>
    </row>
    <row r="22" spans="1:4" ht="12.75">
      <c r="A22" s="127" t="s">
        <v>431</v>
      </c>
      <c r="B22" s="128">
        <v>12000</v>
      </c>
      <c r="C22" s="389">
        <v>12000</v>
      </c>
      <c r="D22" s="459">
        <v>8217</v>
      </c>
    </row>
    <row r="23" spans="1:4" ht="12.75">
      <c r="A23" s="127" t="s">
        <v>570</v>
      </c>
      <c r="B23" s="128"/>
      <c r="C23" s="389">
        <v>5889</v>
      </c>
      <c r="D23" s="459">
        <v>5889</v>
      </c>
    </row>
    <row r="24" spans="1:4" ht="12.75">
      <c r="A24" s="127" t="s">
        <v>842</v>
      </c>
      <c r="B24" s="128"/>
      <c r="C24" s="389">
        <v>159</v>
      </c>
      <c r="D24" s="459"/>
    </row>
    <row r="25" spans="1:4" ht="12.75">
      <c r="A25" s="127" t="s">
        <v>432</v>
      </c>
      <c r="B25" s="128">
        <v>3000</v>
      </c>
      <c r="C25" s="389">
        <v>3500</v>
      </c>
      <c r="D25" s="459">
        <v>1500</v>
      </c>
    </row>
    <row r="26" spans="1:4" ht="12.75">
      <c r="A26" s="127" t="s">
        <v>433</v>
      </c>
      <c r="B26" s="128">
        <v>2400</v>
      </c>
      <c r="C26" s="389">
        <v>2400</v>
      </c>
      <c r="D26" s="459">
        <v>2374</v>
      </c>
    </row>
    <row r="27" spans="1:4" ht="12.75">
      <c r="A27" s="127" t="s">
        <v>434</v>
      </c>
      <c r="B27" s="128">
        <v>15000</v>
      </c>
      <c r="C27" s="389">
        <v>15000</v>
      </c>
      <c r="D27" s="459">
        <v>15000</v>
      </c>
    </row>
    <row r="28" spans="1:4" ht="12.75">
      <c r="A28" s="127" t="s">
        <v>435</v>
      </c>
      <c r="B28" s="128">
        <v>8824</v>
      </c>
      <c r="C28" s="389">
        <v>7576</v>
      </c>
      <c r="D28" s="459">
        <v>7576</v>
      </c>
    </row>
    <row r="29" spans="1:4" ht="12.75">
      <c r="A29" s="127" t="s">
        <v>436</v>
      </c>
      <c r="B29" s="128">
        <v>7552</v>
      </c>
      <c r="C29" s="389">
        <v>7552</v>
      </c>
      <c r="D29" s="459">
        <v>7550</v>
      </c>
    </row>
    <row r="30" spans="1:4" ht="12.75">
      <c r="A30" s="127" t="s">
        <v>437</v>
      </c>
      <c r="B30" s="128">
        <v>5530</v>
      </c>
      <c r="C30" s="389">
        <v>5530</v>
      </c>
      <c r="D30" s="459">
        <v>5523</v>
      </c>
    </row>
    <row r="31" spans="1:4" ht="12.75">
      <c r="A31" s="127" t="s">
        <v>438</v>
      </c>
      <c r="B31" s="128">
        <v>2100</v>
      </c>
      <c r="C31" s="389">
        <v>2577</v>
      </c>
      <c r="D31" s="459">
        <v>2168</v>
      </c>
    </row>
    <row r="32" spans="1:4" ht="12.75">
      <c r="A32" s="127" t="s">
        <v>439</v>
      </c>
      <c r="B32" s="128">
        <v>4000</v>
      </c>
      <c r="C32" s="389">
        <v>4000</v>
      </c>
      <c r="D32" s="459">
        <v>4000</v>
      </c>
    </row>
    <row r="33" spans="1:4" ht="25.5">
      <c r="A33" s="132" t="s">
        <v>571</v>
      </c>
      <c r="B33" s="128"/>
      <c r="C33" s="389">
        <v>1500</v>
      </c>
      <c r="D33" s="459">
        <v>1500</v>
      </c>
    </row>
    <row r="34" spans="1:4" ht="12.75">
      <c r="A34" s="127" t="s">
        <v>572</v>
      </c>
      <c r="B34" s="128"/>
      <c r="C34" s="389">
        <v>1500</v>
      </c>
      <c r="D34" s="459">
        <v>1500</v>
      </c>
    </row>
    <row r="35" spans="1:4" ht="12.75">
      <c r="A35" s="127" t="s">
        <v>440</v>
      </c>
      <c r="B35" s="128">
        <v>1000</v>
      </c>
      <c r="C35" s="389">
        <v>1000</v>
      </c>
      <c r="D35" s="459">
        <v>1000</v>
      </c>
    </row>
    <row r="36" spans="1:4" ht="12.75">
      <c r="A36" s="127" t="s">
        <v>441</v>
      </c>
      <c r="B36" s="128">
        <v>320</v>
      </c>
      <c r="C36" s="389">
        <v>320</v>
      </c>
      <c r="D36" s="459">
        <v>320</v>
      </c>
    </row>
    <row r="37" spans="1:4" ht="12.75">
      <c r="A37" s="127" t="s">
        <v>442</v>
      </c>
      <c r="B37" s="128">
        <v>1000</v>
      </c>
      <c r="C37" s="389">
        <v>1000</v>
      </c>
      <c r="D37" s="459">
        <v>1000</v>
      </c>
    </row>
    <row r="38" spans="1:4" ht="12.75">
      <c r="A38" s="127" t="s">
        <v>443</v>
      </c>
      <c r="B38" s="128">
        <v>300</v>
      </c>
      <c r="C38" s="389">
        <v>300</v>
      </c>
      <c r="D38" s="459">
        <v>300</v>
      </c>
    </row>
    <row r="39" spans="1:4" ht="12.75">
      <c r="A39" s="127" t="s">
        <v>444</v>
      </c>
      <c r="B39" s="128">
        <v>200</v>
      </c>
      <c r="C39" s="389">
        <v>200</v>
      </c>
      <c r="D39" s="459">
        <v>200</v>
      </c>
    </row>
    <row r="40" spans="1:4" ht="12.75">
      <c r="A40" s="127" t="s">
        <v>445</v>
      </c>
      <c r="B40" s="128">
        <v>500</v>
      </c>
      <c r="C40" s="389">
        <v>500</v>
      </c>
      <c r="D40" s="459">
        <v>500</v>
      </c>
    </row>
    <row r="41" spans="1:4" ht="12.75">
      <c r="A41" s="127" t="s">
        <v>446</v>
      </c>
      <c r="B41" s="128">
        <v>500</v>
      </c>
      <c r="C41" s="389">
        <v>500</v>
      </c>
      <c r="D41" s="459">
        <v>500</v>
      </c>
    </row>
    <row r="42" spans="1:4" ht="12.75">
      <c r="A42" s="127" t="s">
        <v>447</v>
      </c>
      <c r="B42" s="128">
        <v>500</v>
      </c>
      <c r="C42" s="389">
        <v>500</v>
      </c>
      <c r="D42" s="459">
        <v>500</v>
      </c>
    </row>
    <row r="43" spans="1:4" ht="12.75">
      <c r="A43" s="127" t="s">
        <v>448</v>
      </c>
      <c r="B43" s="128">
        <v>2000</v>
      </c>
      <c r="C43" s="389">
        <v>2000</v>
      </c>
      <c r="D43" s="459">
        <v>2000</v>
      </c>
    </row>
    <row r="44" spans="1:4" ht="12.75">
      <c r="A44" s="127" t="s">
        <v>759</v>
      </c>
      <c r="B44" s="128"/>
      <c r="C44" s="389">
        <v>4746</v>
      </c>
      <c r="D44" s="459"/>
    </row>
    <row r="45" spans="1:4" ht="12.75">
      <c r="A45" s="127" t="s">
        <v>567</v>
      </c>
      <c r="B45" s="128"/>
      <c r="C45" s="389">
        <v>32000</v>
      </c>
      <c r="D45" s="459">
        <v>32000</v>
      </c>
    </row>
    <row r="46" spans="1:4" ht="12.75">
      <c r="A46" s="127" t="s">
        <v>761</v>
      </c>
      <c r="B46" s="128"/>
      <c r="C46" s="389">
        <v>840</v>
      </c>
      <c r="D46" s="459">
        <v>840</v>
      </c>
    </row>
    <row r="47" spans="1:4" ht="12.75">
      <c r="A47" s="168" t="s">
        <v>568</v>
      </c>
      <c r="B47" s="169"/>
      <c r="C47" s="389">
        <v>1237</v>
      </c>
      <c r="D47" s="459">
        <v>1237</v>
      </c>
    </row>
    <row r="48" spans="1:4" ht="12.75">
      <c r="A48" s="168" t="s">
        <v>569</v>
      </c>
      <c r="B48" s="169"/>
      <c r="C48" s="389">
        <v>1500</v>
      </c>
      <c r="D48" s="459"/>
    </row>
    <row r="49" spans="1:4" ht="12.75">
      <c r="A49" s="168" t="s">
        <v>574</v>
      </c>
      <c r="B49" s="169"/>
      <c r="C49" s="389">
        <v>500</v>
      </c>
      <c r="D49" s="459"/>
    </row>
    <row r="50" spans="1:4" ht="12.75">
      <c r="A50" s="168" t="s">
        <v>832</v>
      </c>
      <c r="B50" s="169"/>
      <c r="C50" s="389">
        <v>350</v>
      </c>
      <c r="D50" s="459">
        <v>350</v>
      </c>
    </row>
    <row r="51" spans="1:4" ht="12.75">
      <c r="A51" s="168" t="s">
        <v>833</v>
      </c>
      <c r="B51" s="169"/>
      <c r="C51" s="389">
        <v>100</v>
      </c>
      <c r="D51" s="459">
        <v>100</v>
      </c>
    </row>
    <row r="52" spans="1:4" ht="12.75">
      <c r="A52" s="168" t="s">
        <v>834</v>
      </c>
      <c r="B52" s="169"/>
      <c r="C52" s="389">
        <v>100</v>
      </c>
      <c r="D52" s="459">
        <v>100</v>
      </c>
    </row>
    <row r="53" spans="1:4" ht="12.75">
      <c r="A53" s="168" t="s">
        <v>835</v>
      </c>
      <c r="B53" s="169"/>
      <c r="C53" s="389">
        <v>140</v>
      </c>
      <c r="D53" s="459">
        <v>140</v>
      </c>
    </row>
    <row r="54" spans="1:4" ht="12.75">
      <c r="A54" s="168" t="s">
        <v>836</v>
      </c>
      <c r="B54" s="169"/>
      <c r="C54" s="389">
        <v>110</v>
      </c>
      <c r="D54" s="459">
        <v>110</v>
      </c>
    </row>
    <row r="55" spans="1:4" ht="12.75">
      <c r="A55" s="168" t="s">
        <v>837</v>
      </c>
      <c r="B55" s="169"/>
      <c r="C55" s="389">
        <v>193</v>
      </c>
      <c r="D55" s="459">
        <v>193</v>
      </c>
    </row>
    <row r="56" spans="1:4" ht="12.75">
      <c r="A56" s="168" t="s">
        <v>487</v>
      </c>
      <c r="B56" s="169"/>
      <c r="C56" s="389">
        <v>400</v>
      </c>
      <c r="D56" s="459">
        <v>400</v>
      </c>
    </row>
    <row r="57" spans="1:4" ht="12.75">
      <c r="A57" s="168" t="s">
        <v>488</v>
      </c>
      <c r="B57" s="169"/>
      <c r="C57" s="389">
        <v>204</v>
      </c>
      <c r="D57" s="459">
        <v>204</v>
      </c>
    </row>
    <row r="58" spans="1:4" ht="12.75">
      <c r="A58" s="127" t="s">
        <v>762</v>
      </c>
      <c r="B58" s="128"/>
      <c r="C58" s="389"/>
      <c r="D58" s="459"/>
    </row>
    <row r="59" spans="1:4" ht="12.75">
      <c r="A59" s="310" t="s">
        <v>763</v>
      </c>
      <c r="B59" s="128"/>
      <c r="C59" s="389">
        <v>50</v>
      </c>
      <c r="D59" s="459">
        <v>50</v>
      </c>
    </row>
    <row r="60" spans="1:4" ht="12.75">
      <c r="A60" s="310" t="s">
        <v>764</v>
      </c>
      <c r="B60" s="128"/>
      <c r="C60" s="389">
        <v>500</v>
      </c>
      <c r="D60" s="459">
        <v>500</v>
      </c>
    </row>
    <row r="61" spans="1:4" ht="12.75">
      <c r="A61" s="422" t="s">
        <v>579</v>
      </c>
      <c r="B61" s="128"/>
      <c r="C61" s="389">
        <v>100</v>
      </c>
      <c r="D61" s="459">
        <v>100</v>
      </c>
    </row>
    <row r="62" spans="1:4" ht="12.75">
      <c r="A62" s="417" t="s">
        <v>578</v>
      </c>
      <c r="B62" s="128"/>
      <c r="C62" s="389">
        <v>50</v>
      </c>
      <c r="D62" s="459">
        <v>50</v>
      </c>
    </row>
    <row r="63" spans="1:4" ht="13.5" customHeight="1">
      <c r="A63" s="418" t="s">
        <v>580</v>
      </c>
      <c r="B63" s="128"/>
      <c r="C63" s="389">
        <v>100</v>
      </c>
      <c r="D63" s="459">
        <v>100</v>
      </c>
    </row>
    <row r="64" spans="1:4" ht="12" customHeight="1">
      <c r="A64" s="418" t="s">
        <v>581</v>
      </c>
      <c r="B64" s="128"/>
      <c r="C64" s="389">
        <v>250</v>
      </c>
      <c r="D64" s="459">
        <v>250</v>
      </c>
    </row>
    <row r="65" spans="1:4" ht="12.75">
      <c r="A65" s="417" t="s">
        <v>583</v>
      </c>
      <c r="B65" s="128"/>
      <c r="C65" s="389">
        <v>100</v>
      </c>
      <c r="D65" s="459">
        <v>100</v>
      </c>
    </row>
    <row r="66" spans="1:4" ht="12.75">
      <c r="A66" s="417" t="s">
        <v>584</v>
      </c>
      <c r="B66" s="128"/>
      <c r="C66" s="389">
        <v>1000</v>
      </c>
      <c r="D66" s="459">
        <v>1000</v>
      </c>
    </row>
    <row r="67" spans="1:4" ht="12.75">
      <c r="A67" s="417" t="s">
        <v>585</v>
      </c>
      <c r="B67" s="128"/>
      <c r="C67" s="389">
        <v>250</v>
      </c>
      <c r="D67" s="459">
        <v>250</v>
      </c>
    </row>
    <row r="68" spans="1:4" ht="12.75">
      <c r="A68" s="417" t="s">
        <v>576</v>
      </c>
      <c r="B68" s="128"/>
      <c r="C68" s="389">
        <v>100</v>
      </c>
      <c r="D68" s="459">
        <v>100</v>
      </c>
    </row>
    <row r="69" spans="1:4" ht="12.75">
      <c r="A69" s="417" t="s">
        <v>577</v>
      </c>
      <c r="B69" s="128"/>
      <c r="C69" s="389">
        <v>50</v>
      </c>
      <c r="D69" s="459">
        <v>50</v>
      </c>
    </row>
    <row r="70" spans="1:4" ht="12.75">
      <c r="A70" s="417" t="s">
        <v>838</v>
      </c>
      <c r="B70" s="128"/>
      <c r="C70" s="389">
        <v>100</v>
      </c>
      <c r="D70" s="459">
        <v>100</v>
      </c>
    </row>
    <row r="71" spans="1:4" ht="12.75">
      <c r="A71" s="417" t="s">
        <v>839</v>
      </c>
      <c r="B71" s="128"/>
      <c r="C71" s="389">
        <v>250</v>
      </c>
      <c r="D71" s="459">
        <v>250</v>
      </c>
    </row>
    <row r="72" spans="1:4" ht="12.75">
      <c r="A72" s="417" t="s">
        <v>840</v>
      </c>
      <c r="B72" s="128"/>
      <c r="C72" s="389">
        <v>150</v>
      </c>
      <c r="D72" s="459">
        <v>150</v>
      </c>
    </row>
    <row r="73" spans="1:4" ht="12.75">
      <c r="A73" s="417" t="s">
        <v>841</v>
      </c>
      <c r="B73" s="128"/>
      <c r="C73" s="389">
        <v>250</v>
      </c>
      <c r="D73" s="459">
        <v>250</v>
      </c>
    </row>
    <row r="74" spans="1:4" ht="12.75">
      <c r="A74" s="468" t="s">
        <v>489</v>
      </c>
      <c r="B74" s="169"/>
      <c r="C74" s="389">
        <v>531</v>
      </c>
      <c r="D74" s="460">
        <v>531</v>
      </c>
    </row>
    <row r="75" spans="1:4" ht="12.75">
      <c r="A75" s="168" t="s">
        <v>575</v>
      </c>
      <c r="B75" s="169"/>
      <c r="C75" s="390">
        <v>166075</v>
      </c>
      <c r="D75" s="460">
        <v>165644</v>
      </c>
    </row>
    <row r="76" spans="1:4" s="161" customFormat="1" ht="13.5">
      <c r="A76" s="159" t="s">
        <v>449</v>
      </c>
      <c r="B76" s="160">
        <f>SUM(B5:B75)</f>
        <v>406892</v>
      </c>
      <c r="C76" s="160">
        <f>SUM(C5:C75)</f>
        <v>640934</v>
      </c>
      <c r="D76" s="670">
        <f>SUM(D5:D75)</f>
        <v>626422</v>
      </c>
    </row>
    <row r="77" spans="1:4" ht="12.75">
      <c r="A77" s="127"/>
      <c r="B77" s="128"/>
      <c r="C77" s="389"/>
      <c r="D77" s="459"/>
    </row>
    <row r="78" spans="1:4" ht="12.75" customHeight="1">
      <c r="A78" s="162" t="s">
        <v>450</v>
      </c>
      <c r="B78" s="163"/>
      <c r="C78" s="389"/>
      <c r="D78" s="459"/>
    </row>
    <row r="79" spans="1:4" ht="12.75">
      <c r="A79" s="127" t="s">
        <v>451</v>
      </c>
      <c r="B79" s="128">
        <v>6000</v>
      </c>
      <c r="C79" s="389">
        <v>2300</v>
      </c>
      <c r="D79" s="459"/>
    </row>
    <row r="80" spans="1:4" ht="12.75">
      <c r="A80" s="127" t="s">
        <v>452</v>
      </c>
      <c r="B80" s="128">
        <v>34053</v>
      </c>
      <c r="C80" s="389">
        <v>34053</v>
      </c>
      <c r="D80" s="459"/>
    </row>
    <row r="81" spans="1:4" ht="12.75">
      <c r="A81" s="127" t="s">
        <v>453</v>
      </c>
      <c r="B81" s="128">
        <v>739</v>
      </c>
      <c r="C81" s="389">
        <v>739</v>
      </c>
      <c r="D81" s="459"/>
    </row>
    <row r="82" spans="1:4" ht="12.75">
      <c r="A82" s="127" t="s">
        <v>454</v>
      </c>
      <c r="B82" s="128">
        <v>2314</v>
      </c>
      <c r="C82" s="389">
        <v>2314</v>
      </c>
      <c r="D82" s="459"/>
    </row>
    <row r="83" spans="1:4" ht="12.75">
      <c r="A83" s="127" t="s">
        <v>455</v>
      </c>
      <c r="B83" s="128">
        <v>3500</v>
      </c>
      <c r="C83" s="389">
        <v>3500</v>
      </c>
      <c r="D83" s="459"/>
    </row>
    <row r="84" spans="1:4" ht="12.75">
      <c r="A84" s="127" t="s">
        <v>456</v>
      </c>
      <c r="B84" s="128">
        <v>12000</v>
      </c>
      <c r="C84" s="389">
        <v>12000</v>
      </c>
      <c r="D84" s="459">
        <v>500</v>
      </c>
    </row>
    <row r="85" spans="1:4" ht="12.75">
      <c r="A85" s="127" t="s">
        <v>457</v>
      </c>
      <c r="B85" s="128">
        <v>3975</v>
      </c>
      <c r="C85" s="389">
        <v>3975</v>
      </c>
      <c r="D85" s="459">
        <v>1422</v>
      </c>
    </row>
    <row r="86" spans="1:4" ht="12.75">
      <c r="A86" s="127" t="s">
        <v>458</v>
      </c>
      <c r="B86" s="128">
        <v>4500</v>
      </c>
      <c r="C86" s="389">
        <v>4500</v>
      </c>
      <c r="D86" s="459">
        <v>4500</v>
      </c>
    </row>
    <row r="87" spans="1:4" ht="12.75" customHeight="1">
      <c r="A87" s="132" t="s">
        <v>459</v>
      </c>
      <c r="B87" s="128">
        <v>2000</v>
      </c>
      <c r="C87" s="389">
        <v>2000</v>
      </c>
      <c r="D87" s="459"/>
    </row>
    <row r="88" spans="1:4" ht="12.75">
      <c r="A88" s="132" t="s">
        <v>460</v>
      </c>
      <c r="B88" s="128">
        <v>65000</v>
      </c>
      <c r="C88" s="389">
        <v>0</v>
      </c>
      <c r="D88" s="459"/>
    </row>
    <row r="89" spans="1:4" ht="12.75">
      <c r="A89" s="132" t="s">
        <v>765</v>
      </c>
      <c r="B89" s="128"/>
      <c r="C89" s="389">
        <v>21</v>
      </c>
      <c r="D89" s="459">
        <v>21</v>
      </c>
    </row>
    <row r="90" spans="1:4" ht="12.75">
      <c r="A90" s="132" t="s">
        <v>573</v>
      </c>
      <c r="B90" s="128"/>
      <c r="C90" s="389">
        <v>3500</v>
      </c>
      <c r="D90" s="459">
        <v>3500</v>
      </c>
    </row>
    <row r="91" spans="1:4" ht="12.75">
      <c r="A91" s="132" t="s">
        <v>591</v>
      </c>
      <c r="B91" s="128"/>
      <c r="C91" s="389">
        <v>5984</v>
      </c>
      <c r="D91" s="459">
        <v>5984</v>
      </c>
    </row>
    <row r="92" spans="1:4" ht="12.75">
      <c r="A92" s="132" t="s">
        <v>592</v>
      </c>
      <c r="B92" s="128"/>
      <c r="C92" s="389">
        <v>2600</v>
      </c>
      <c r="D92" s="459">
        <v>2600</v>
      </c>
    </row>
    <row r="93" spans="1:4" ht="12.75">
      <c r="A93" s="132" t="s">
        <v>785</v>
      </c>
      <c r="B93" s="128"/>
      <c r="C93" s="389">
        <v>5444</v>
      </c>
      <c r="D93" s="459">
        <v>5444</v>
      </c>
    </row>
    <row r="94" spans="1:4" ht="12.75">
      <c r="A94" s="132" t="s">
        <v>490</v>
      </c>
      <c r="B94" s="128"/>
      <c r="C94" s="389">
        <v>15500</v>
      </c>
      <c r="D94" s="459">
        <v>15500</v>
      </c>
    </row>
    <row r="95" spans="1:4" s="161" customFormat="1" ht="13.5">
      <c r="A95" s="159" t="s">
        <v>449</v>
      </c>
      <c r="B95" s="469">
        <f>SUM(B79:B94)</f>
        <v>134081</v>
      </c>
      <c r="C95" s="469">
        <v>98430</v>
      </c>
      <c r="D95" s="671">
        <f>SUM(D79:D94)</f>
        <v>39471</v>
      </c>
    </row>
    <row r="96" spans="1:4" s="133" customFormat="1" ht="12.75">
      <c r="A96" s="168"/>
      <c r="B96" s="169"/>
      <c r="C96" s="390"/>
      <c r="D96" s="460"/>
    </row>
    <row r="97" spans="1:4" s="126" customFormat="1" ht="13.5" thickBot="1">
      <c r="A97" s="164" t="s">
        <v>141</v>
      </c>
      <c r="B97" s="165">
        <f>SUM(B76+B95)</f>
        <v>540973</v>
      </c>
      <c r="C97" s="165">
        <f>SUM(C76+C95)</f>
        <v>739364</v>
      </c>
      <c r="D97" s="394">
        <f>SUM(D76+D95)</f>
        <v>665893</v>
      </c>
    </row>
    <row r="99" spans="1:4" ht="26.25" customHeight="1">
      <c r="A99" s="1477" t="s">
        <v>1242</v>
      </c>
      <c r="B99" s="1477"/>
      <c r="C99" s="1477"/>
      <c r="D99" s="1477"/>
    </row>
    <row r="100" ht="13.5" thickBot="1"/>
    <row r="101" spans="1:4" s="126" customFormat="1" ht="12.75">
      <c r="A101" s="124" t="s">
        <v>415</v>
      </c>
      <c r="B101" s="158" t="s">
        <v>874</v>
      </c>
      <c r="C101" s="388" t="s">
        <v>33</v>
      </c>
      <c r="D101" s="458" t="s">
        <v>321</v>
      </c>
    </row>
    <row r="102" spans="1:4" s="126" customFormat="1" ht="12.75">
      <c r="A102" s="166"/>
      <c r="B102" s="167"/>
      <c r="C102" s="391"/>
      <c r="D102" s="461"/>
    </row>
    <row r="103" spans="1:4" ht="12.75">
      <c r="A103" s="127" t="s">
        <v>461</v>
      </c>
      <c r="B103" s="128">
        <v>13739</v>
      </c>
      <c r="C103" s="389"/>
      <c r="D103" s="459"/>
    </row>
    <row r="104" spans="1:4" ht="12.75">
      <c r="A104" s="168" t="s">
        <v>462</v>
      </c>
      <c r="B104" s="169"/>
      <c r="C104" s="389">
        <v>5349</v>
      </c>
      <c r="D104" s="459">
        <v>5349</v>
      </c>
    </row>
    <row r="105" spans="1:4" s="172" customFormat="1" ht="14.25" thickBot="1">
      <c r="A105" s="170" t="s">
        <v>872</v>
      </c>
      <c r="B105" s="171">
        <f>SUM(B103)</f>
        <v>13739</v>
      </c>
      <c r="C105" s="171">
        <f>SUM(C103:C104)</f>
        <v>5349</v>
      </c>
      <c r="D105" s="462">
        <f>SUM(D103:D104)</f>
        <v>5349</v>
      </c>
    </row>
    <row r="106" ht="12.75">
      <c r="A106" s="135"/>
    </row>
    <row r="107" ht="12.75">
      <c r="A107" s="135"/>
    </row>
    <row r="108" spans="1:4" ht="26.25" customHeight="1">
      <c r="A108" s="1477" t="s">
        <v>463</v>
      </c>
      <c r="B108" s="1477"/>
      <c r="C108" s="1477"/>
      <c r="D108" s="1477"/>
    </row>
    <row r="109" ht="13.5" thickBot="1">
      <c r="A109" s="135"/>
    </row>
    <row r="110" spans="1:4" s="126" customFormat="1" ht="12.75">
      <c r="A110" s="124" t="s">
        <v>415</v>
      </c>
      <c r="B110" s="158" t="s">
        <v>874</v>
      </c>
      <c r="C110" s="388" t="s">
        <v>33</v>
      </c>
      <c r="D110" s="458" t="s">
        <v>321</v>
      </c>
    </row>
    <row r="111" spans="1:4" s="126" customFormat="1" ht="12.75">
      <c r="A111" s="129"/>
      <c r="B111" s="173"/>
      <c r="C111" s="391"/>
      <c r="D111" s="461"/>
    </row>
    <row r="112" spans="1:4" ht="12.75">
      <c r="A112" s="127" t="s">
        <v>461</v>
      </c>
      <c r="B112" s="128">
        <v>0</v>
      </c>
      <c r="C112" s="389">
        <v>7769</v>
      </c>
      <c r="D112" s="459">
        <v>7497</v>
      </c>
    </row>
    <row r="113" spans="1:4" s="172" customFormat="1" ht="14.25" thickBot="1">
      <c r="A113" s="170" t="s">
        <v>872</v>
      </c>
      <c r="B113" s="171">
        <f>SUM(B112)</f>
        <v>0</v>
      </c>
      <c r="C113" s="171">
        <f>SUM(C112)</f>
        <v>7769</v>
      </c>
      <c r="D113" s="462">
        <f>SUM(D112)</f>
        <v>7497</v>
      </c>
    </row>
    <row r="114" ht="12.75">
      <c r="A114" s="135"/>
    </row>
    <row r="115" ht="12.75">
      <c r="A115" s="135"/>
    </row>
    <row r="116" ht="12.75">
      <c r="A116" s="135"/>
    </row>
    <row r="117" spans="1:4" ht="12.75">
      <c r="A117" s="1477" t="s">
        <v>766</v>
      </c>
      <c r="B117" s="1477"/>
      <c r="C117" s="1477"/>
      <c r="D117" s="1477"/>
    </row>
    <row r="118" ht="13.5" thickBot="1">
      <c r="A118" s="135"/>
    </row>
    <row r="119" spans="1:4" ht="12.75">
      <c r="A119" s="124" t="s">
        <v>415</v>
      </c>
      <c r="B119" s="158" t="s">
        <v>874</v>
      </c>
      <c r="C119" s="388" t="s">
        <v>33</v>
      </c>
      <c r="D119" s="458" t="s">
        <v>321</v>
      </c>
    </row>
    <row r="120" spans="1:4" ht="12.75">
      <c r="A120" s="129"/>
      <c r="B120" s="173"/>
      <c r="C120" s="391"/>
      <c r="D120" s="461"/>
    </row>
    <row r="121" spans="1:4" ht="12.75">
      <c r="A121" s="127" t="s">
        <v>418</v>
      </c>
      <c r="B121" s="128">
        <v>0</v>
      </c>
      <c r="C121" s="389">
        <v>102</v>
      </c>
      <c r="D121" s="459">
        <v>102</v>
      </c>
    </row>
    <row r="122" spans="1:4" ht="12.75">
      <c r="A122" s="168" t="s">
        <v>72</v>
      </c>
      <c r="B122" s="169"/>
      <c r="C122" s="390">
        <v>652</v>
      </c>
      <c r="D122" s="460">
        <v>629</v>
      </c>
    </row>
    <row r="123" spans="1:4" ht="14.25" thickBot="1">
      <c r="A123" s="170" t="s">
        <v>872</v>
      </c>
      <c r="B123" s="171">
        <f>SUM(B121:B122)</f>
        <v>0</v>
      </c>
      <c r="C123" s="171">
        <f>SUM(C121:C122)</f>
        <v>754</v>
      </c>
      <c r="D123" s="462">
        <f>SUM(D121:D122)</f>
        <v>731</v>
      </c>
    </row>
    <row r="124" ht="12.75">
      <c r="A124" s="135"/>
    </row>
    <row r="125" ht="12.75">
      <c r="A125" s="135"/>
    </row>
    <row r="126" ht="12.75">
      <c r="A126" s="135"/>
    </row>
    <row r="127" ht="12.75">
      <c r="A127" s="135"/>
    </row>
    <row r="128" ht="12.75">
      <c r="A128" s="135"/>
    </row>
    <row r="129" ht="12.75">
      <c r="A129" s="135"/>
    </row>
    <row r="130" ht="12.75">
      <c r="A130" s="135"/>
    </row>
    <row r="131" ht="12.75">
      <c r="A131" s="174"/>
    </row>
    <row r="133" ht="12.75">
      <c r="A133" s="175"/>
    </row>
  </sheetData>
  <sheetProtection/>
  <mergeCells count="4">
    <mergeCell ref="A2:D2"/>
    <mergeCell ref="A99:D99"/>
    <mergeCell ref="A108:D108"/>
    <mergeCell ref="A117:D117"/>
  </mergeCells>
  <printOptions horizontalCentered="1"/>
  <pageMargins left="0.35433070866141736" right="0.31496062992125984" top="0.45" bottom="0.25" header="0.22" footer="0.21"/>
  <pageSetup horizontalDpi="600" verticalDpi="600" orientation="portrait" paperSize="9" scale="64" r:id="rId1"/>
  <headerFooter alignWithMargins="0">
    <oddHeader>&amp;L 11. melléklet a 8/2014.(V.5.) önkormányzati rendelethez</oddHeader>
  </headerFooter>
  <rowBreaks count="1" manualBreakCount="1">
    <brk id="97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4"/>
  <sheetViews>
    <sheetView view="pageLayout" zoomScaleSheetLayoutView="100" workbookViewId="0" topLeftCell="A1">
      <selection activeCell="A3" sqref="A3:D3"/>
    </sheetView>
  </sheetViews>
  <sheetFormatPr defaultColWidth="9.00390625" defaultRowHeight="12.75"/>
  <cols>
    <col min="1" max="1" width="80.75390625" style="122" customWidth="1"/>
    <col min="2" max="3" width="11.875" style="123" customWidth="1"/>
    <col min="4" max="4" width="11.375" style="140" customWidth="1"/>
    <col min="5" max="16384" width="9.125" style="122" customWidth="1"/>
  </cols>
  <sheetData>
    <row r="1" spans="1:3" ht="12.75">
      <c r="A1" s="176"/>
      <c r="B1" s="156"/>
      <c r="C1" s="156"/>
    </row>
    <row r="2" spans="1:4" ht="12.75">
      <c r="A2" s="1479" t="s">
        <v>464</v>
      </c>
      <c r="B2" s="1479"/>
      <c r="C2" s="1479"/>
      <c r="D2" s="1479"/>
    </row>
    <row r="3" spans="1:4" ht="12.75">
      <c r="A3" s="1479" t="s">
        <v>465</v>
      </c>
      <c r="B3" s="1479"/>
      <c r="C3" s="1479"/>
      <c r="D3" s="1479"/>
    </row>
    <row r="4" spans="1:4" ht="12.75">
      <c r="A4" s="1478" t="s">
        <v>466</v>
      </c>
      <c r="B4" s="1478"/>
      <c r="C4" s="1478"/>
      <c r="D4" s="1478"/>
    </row>
    <row r="5" spans="1:3" ht="13.5" thickBot="1">
      <c r="A5" s="177"/>
      <c r="B5" s="178"/>
      <c r="C5" s="178"/>
    </row>
    <row r="6" spans="1:4" ht="12.75">
      <c r="A6" s="179" t="s">
        <v>216</v>
      </c>
      <c r="B6" s="180" t="s">
        <v>873</v>
      </c>
      <c r="C6" s="395" t="s">
        <v>33</v>
      </c>
      <c r="D6" s="392" t="s">
        <v>321</v>
      </c>
    </row>
    <row r="7" spans="1:4" ht="12.75">
      <c r="A7" s="181"/>
      <c r="B7" s="163"/>
      <c r="C7" s="396"/>
      <c r="D7" s="393"/>
    </row>
    <row r="8" spans="1:4" ht="12.75">
      <c r="A8" s="129" t="s">
        <v>4</v>
      </c>
      <c r="B8" s="128"/>
      <c r="C8" s="396"/>
      <c r="D8" s="393"/>
    </row>
    <row r="9" spans="1:4" ht="12.75">
      <c r="A9" s="127" t="s">
        <v>467</v>
      </c>
      <c r="B9" s="128">
        <v>40380</v>
      </c>
      <c r="C9" s="389">
        <v>31011</v>
      </c>
      <c r="D9" s="459">
        <v>30507</v>
      </c>
    </row>
    <row r="10" spans="1:4" ht="12.75">
      <c r="A10" s="127" t="s">
        <v>468</v>
      </c>
      <c r="B10" s="128">
        <v>1000</v>
      </c>
      <c r="C10" s="389"/>
      <c r="D10" s="459"/>
    </row>
    <row r="11" spans="1:4" ht="12.75">
      <c r="A11" s="127" t="s">
        <v>469</v>
      </c>
      <c r="B11" s="128">
        <v>3900</v>
      </c>
      <c r="C11" s="389"/>
      <c r="D11" s="459"/>
    </row>
    <row r="12" spans="1:4" ht="12.75">
      <c r="A12" s="127" t="s">
        <v>499</v>
      </c>
      <c r="B12" s="128">
        <v>2100</v>
      </c>
      <c r="C12" s="389">
        <v>2100</v>
      </c>
      <c r="D12" s="459">
        <v>1322</v>
      </c>
    </row>
    <row r="13" spans="1:4" ht="12.75">
      <c r="A13" s="127" t="s">
        <v>470</v>
      </c>
      <c r="B13" s="128">
        <v>2470</v>
      </c>
      <c r="C13" s="389">
        <v>2470</v>
      </c>
      <c r="D13" s="459">
        <v>1224</v>
      </c>
    </row>
    <row r="14" spans="1:4" ht="12.75">
      <c r="A14" s="127" t="s">
        <v>471</v>
      </c>
      <c r="B14" s="128">
        <v>14560</v>
      </c>
      <c r="C14" s="389">
        <v>14560</v>
      </c>
      <c r="D14" s="459">
        <v>14560</v>
      </c>
    </row>
    <row r="15" spans="1:4" ht="12.75">
      <c r="A15" s="127" t="s">
        <v>472</v>
      </c>
      <c r="B15" s="128">
        <v>8000</v>
      </c>
      <c r="C15" s="389">
        <v>8000</v>
      </c>
      <c r="D15" s="459">
        <v>8000</v>
      </c>
    </row>
    <row r="16" spans="1:4" ht="12.75">
      <c r="A16" s="127" t="s">
        <v>767</v>
      </c>
      <c r="B16" s="128"/>
      <c r="C16" s="389">
        <v>998</v>
      </c>
      <c r="D16" s="459">
        <v>998</v>
      </c>
    </row>
    <row r="17" spans="1:4" ht="12.75">
      <c r="A17" s="127" t="s">
        <v>768</v>
      </c>
      <c r="B17" s="128"/>
      <c r="C17" s="389">
        <v>1565</v>
      </c>
      <c r="D17" s="459">
        <v>1565</v>
      </c>
    </row>
    <row r="18" spans="1:4" ht="12.75">
      <c r="A18" s="127" t="s">
        <v>500</v>
      </c>
      <c r="B18" s="128"/>
      <c r="C18" s="389">
        <v>3062</v>
      </c>
      <c r="D18" s="459">
        <v>3062</v>
      </c>
    </row>
    <row r="19" spans="1:4" ht="12.75">
      <c r="A19" s="127" t="s">
        <v>734</v>
      </c>
      <c r="B19" s="128"/>
      <c r="C19" s="389">
        <v>20316</v>
      </c>
      <c r="D19" s="459">
        <v>16420</v>
      </c>
    </row>
    <row r="20" spans="1:4" ht="12.75">
      <c r="A20" s="127" t="s">
        <v>492</v>
      </c>
      <c r="B20" s="128"/>
      <c r="C20" s="389">
        <v>311</v>
      </c>
      <c r="D20" s="459"/>
    </row>
    <row r="21" spans="1:4" ht="12.75">
      <c r="A21" s="127" t="s">
        <v>493</v>
      </c>
      <c r="B21" s="128"/>
      <c r="C21" s="389">
        <v>12844</v>
      </c>
      <c r="D21" s="459">
        <v>12844</v>
      </c>
    </row>
    <row r="22" spans="1:4" ht="12.75">
      <c r="A22" s="127" t="s">
        <v>261</v>
      </c>
      <c r="B22" s="128"/>
      <c r="C22" s="389"/>
      <c r="D22" s="459">
        <v>101</v>
      </c>
    </row>
    <row r="23" spans="1:4" s="126" customFormat="1" ht="12.75">
      <c r="A23" s="129" t="s">
        <v>449</v>
      </c>
      <c r="B23" s="130">
        <f>SUM(B9:B22)</f>
        <v>72410</v>
      </c>
      <c r="C23" s="391">
        <f>SUM(C9:C22)</f>
        <v>97237</v>
      </c>
      <c r="D23" s="461">
        <f>SUM(D9:D22)</f>
        <v>90603</v>
      </c>
    </row>
    <row r="24" spans="1:4" ht="12.75">
      <c r="A24" s="127"/>
      <c r="B24" s="128"/>
      <c r="C24" s="389"/>
      <c r="D24" s="459"/>
    </row>
    <row r="25" spans="1:4" ht="12.75">
      <c r="A25" s="129" t="s">
        <v>473</v>
      </c>
      <c r="B25" s="128"/>
      <c r="C25" s="389"/>
      <c r="D25" s="459"/>
    </row>
    <row r="26" spans="1:4" ht="12.75">
      <c r="A26" s="127" t="s">
        <v>218</v>
      </c>
      <c r="B26" s="128">
        <v>175037</v>
      </c>
      <c r="C26" s="389">
        <v>11309</v>
      </c>
      <c r="D26" s="459">
        <v>14374</v>
      </c>
    </row>
    <row r="27" spans="1:4" ht="12.75">
      <c r="A27" s="127" t="s">
        <v>474</v>
      </c>
      <c r="B27" s="128">
        <v>4075</v>
      </c>
      <c r="C27" s="389">
        <v>4075</v>
      </c>
      <c r="D27" s="459">
        <v>1010</v>
      </c>
    </row>
    <row r="28" spans="1:4" ht="25.5">
      <c r="A28" s="132" t="s">
        <v>220</v>
      </c>
      <c r="B28" s="128">
        <v>293165</v>
      </c>
      <c r="C28" s="389">
        <v>47455</v>
      </c>
      <c r="D28" s="459">
        <v>2642</v>
      </c>
    </row>
    <row r="29" spans="1:4" ht="27.75" customHeight="1">
      <c r="A29" s="132" t="s">
        <v>475</v>
      </c>
      <c r="B29" s="128">
        <v>869</v>
      </c>
      <c r="C29" s="389">
        <v>869</v>
      </c>
      <c r="D29" s="459">
        <v>408</v>
      </c>
    </row>
    <row r="30" spans="1:4" ht="25.5">
      <c r="A30" s="132" t="s">
        <v>476</v>
      </c>
      <c r="B30" s="128">
        <v>500000</v>
      </c>
      <c r="C30" s="389"/>
      <c r="D30" s="459"/>
    </row>
    <row r="31" spans="1:4" ht="12.75">
      <c r="A31" s="132" t="s">
        <v>477</v>
      </c>
      <c r="B31" s="128">
        <v>9345</v>
      </c>
      <c r="C31" s="389">
        <v>9345</v>
      </c>
      <c r="D31" s="459">
        <v>9230</v>
      </c>
    </row>
    <row r="32" spans="1:4" ht="12.75" customHeight="1">
      <c r="A32" s="132" t="s">
        <v>222</v>
      </c>
      <c r="B32" s="128">
        <v>9122</v>
      </c>
      <c r="C32" s="389">
        <v>9122</v>
      </c>
      <c r="D32" s="459">
        <v>8533</v>
      </c>
    </row>
    <row r="33" spans="1:4" ht="12.75">
      <c r="A33" s="132" t="s">
        <v>223</v>
      </c>
      <c r="B33" s="128">
        <v>20000</v>
      </c>
      <c r="C33" s="389"/>
      <c r="D33" s="459"/>
    </row>
    <row r="34" spans="1:4" ht="12.75">
      <c r="A34" s="132" t="s">
        <v>224</v>
      </c>
      <c r="B34" s="128">
        <v>2000</v>
      </c>
      <c r="C34" s="389">
        <v>2000</v>
      </c>
      <c r="D34" s="459">
        <v>2000</v>
      </c>
    </row>
    <row r="35" spans="1:4" ht="12.75">
      <c r="A35" s="132" t="s">
        <v>225</v>
      </c>
      <c r="B35" s="128">
        <v>1000</v>
      </c>
      <c r="C35" s="389">
        <v>1000</v>
      </c>
      <c r="D35" s="459">
        <v>1000</v>
      </c>
    </row>
    <row r="36" spans="1:4" ht="12.75">
      <c r="A36" s="132" t="s">
        <v>227</v>
      </c>
      <c r="B36" s="128">
        <v>81290</v>
      </c>
      <c r="C36" s="389"/>
      <c r="D36" s="459"/>
    </row>
    <row r="37" spans="1:4" ht="25.5">
      <c r="A37" s="132" t="s">
        <v>228</v>
      </c>
      <c r="B37" s="128">
        <v>435222</v>
      </c>
      <c r="C37" s="389">
        <v>301656</v>
      </c>
      <c r="D37" s="459">
        <v>301657</v>
      </c>
    </row>
    <row r="38" spans="1:4" ht="25.5">
      <c r="A38" s="132" t="s">
        <v>478</v>
      </c>
      <c r="B38" s="128">
        <v>6140</v>
      </c>
      <c r="C38" s="389">
        <v>6140</v>
      </c>
      <c r="D38" s="459">
        <v>3328</v>
      </c>
    </row>
    <row r="39" spans="1:4" ht="12.75">
      <c r="A39" s="132" t="s">
        <v>769</v>
      </c>
      <c r="B39" s="128"/>
      <c r="C39" s="389"/>
      <c r="D39" s="459"/>
    </row>
    <row r="40" spans="1:4" ht="12.75">
      <c r="A40" s="132" t="s">
        <v>770</v>
      </c>
      <c r="B40" s="128"/>
      <c r="C40" s="389"/>
      <c r="D40" s="459"/>
    </row>
    <row r="41" spans="1:4" ht="12.75">
      <c r="A41" s="132" t="s">
        <v>771</v>
      </c>
      <c r="B41" s="128"/>
      <c r="C41" s="389"/>
      <c r="D41" s="459"/>
    </row>
    <row r="42" spans="1:4" ht="25.5">
      <c r="A42" s="132" t="s">
        <v>340</v>
      </c>
      <c r="B42" s="128"/>
      <c r="C42" s="389">
        <v>34763</v>
      </c>
      <c r="D42" s="459">
        <v>13338</v>
      </c>
    </row>
    <row r="43" spans="1:4" ht="12.75">
      <c r="A43" s="132" t="s">
        <v>501</v>
      </c>
      <c r="B43" s="128"/>
      <c r="C43" s="389">
        <v>8412</v>
      </c>
      <c r="D43" s="459">
        <v>8412</v>
      </c>
    </row>
    <row r="44" spans="1:4" ht="12.75">
      <c r="A44" s="132" t="s">
        <v>262</v>
      </c>
      <c r="B44" s="128"/>
      <c r="C44" s="389">
        <v>16374</v>
      </c>
      <c r="D44" s="459">
        <v>19186</v>
      </c>
    </row>
    <row r="45" spans="1:4" ht="12.75">
      <c r="A45" s="132" t="s">
        <v>263</v>
      </c>
      <c r="B45" s="128"/>
      <c r="C45" s="389"/>
      <c r="D45" s="459">
        <v>9998</v>
      </c>
    </row>
    <row r="46" spans="1:4" s="126" customFormat="1" ht="12.75">
      <c r="A46" s="129" t="s">
        <v>449</v>
      </c>
      <c r="B46" s="130">
        <f>SUM(B26:B45)</f>
        <v>1537265</v>
      </c>
      <c r="C46" s="130">
        <f>SUM(C26:C45)</f>
        <v>452520</v>
      </c>
      <c r="D46" s="381">
        <f>SUM(D26:D45)</f>
        <v>395116</v>
      </c>
    </row>
    <row r="47" spans="1:4" ht="12.75">
      <c r="A47" s="127"/>
      <c r="B47" s="128"/>
      <c r="C47" s="389"/>
      <c r="D47" s="459"/>
    </row>
    <row r="48" spans="1:4" ht="12.75">
      <c r="A48" s="129" t="s">
        <v>479</v>
      </c>
      <c r="B48" s="128"/>
      <c r="C48" s="389"/>
      <c r="D48" s="459"/>
    </row>
    <row r="49" spans="1:4" ht="12.75">
      <c r="A49" s="127" t="s">
        <v>480</v>
      </c>
      <c r="B49" s="128">
        <v>2600</v>
      </c>
      <c r="C49" s="389">
        <v>2600</v>
      </c>
      <c r="D49" s="459"/>
    </row>
    <row r="50" spans="1:4" ht="12.75">
      <c r="A50" s="132" t="s">
        <v>481</v>
      </c>
      <c r="B50" s="128">
        <v>1200</v>
      </c>
      <c r="C50" s="389">
        <v>1200</v>
      </c>
      <c r="D50" s="459"/>
    </row>
    <row r="51" spans="1:4" ht="12.75">
      <c r="A51" s="132" t="s">
        <v>504</v>
      </c>
      <c r="B51" s="128"/>
      <c r="C51" s="389"/>
      <c r="D51" s="459"/>
    </row>
    <row r="52" spans="1:4" ht="12.75">
      <c r="A52" s="132" t="s">
        <v>505</v>
      </c>
      <c r="B52" s="128"/>
      <c r="C52" s="389">
        <v>2291</v>
      </c>
      <c r="D52" s="459">
        <v>2291</v>
      </c>
    </row>
    <row r="53" spans="1:4" ht="12.75">
      <c r="A53" s="127" t="s">
        <v>469</v>
      </c>
      <c r="B53" s="128"/>
      <c r="C53" s="389">
        <v>3900</v>
      </c>
      <c r="D53" s="459">
        <v>4805</v>
      </c>
    </row>
    <row r="54" spans="1:4" ht="12.75">
      <c r="A54" s="132" t="s">
        <v>733</v>
      </c>
      <c r="B54" s="128"/>
      <c r="C54" s="389">
        <v>1505</v>
      </c>
      <c r="D54" s="459">
        <v>1505</v>
      </c>
    </row>
    <row r="55" spans="1:4" ht="12.75">
      <c r="A55" s="132" t="s">
        <v>264</v>
      </c>
      <c r="B55" s="128"/>
      <c r="C55" s="389"/>
      <c r="D55" s="459">
        <v>565</v>
      </c>
    </row>
    <row r="56" spans="1:4" s="126" customFormat="1" ht="12.75">
      <c r="A56" s="129" t="s">
        <v>449</v>
      </c>
      <c r="B56" s="130">
        <f>SUM(B49:B55)</f>
        <v>3800</v>
      </c>
      <c r="C56" s="130">
        <f>SUM(C49:C55)</f>
        <v>11496</v>
      </c>
      <c r="D56" s="381">
        <f>SUM(D49:D55)</f>
        <v>9166</v>
      </c>
    </row>
    <row r="57" spans="1:4" ht="12.75">
      <c r="A57" s="127"/>
      <c r="B57" s="128"/>
      <c r="C57" s="389"/>
      <c r="D57" s="459"/>
    </row>
    <row r="58" spans="1:4" ht="12.75">
      <c r="A58" s="129" t="s">
        <v>482</v>
      </c>
      <c r="B58" s="128"/>
      <c r="C58" s="389"/>
      <c r="D58" s="459"/>
    </row>
    <row r="59" spans="1:4" s="131" customFormat="1" ht="12.75">
      <c r="A59" s="127" t="s">
        <v>484</v>
      </c>
      <c r="B59" s="128">
        <v>50</v>
      </c>
      <c r="C59" s="389">
        <v>50</v>
      </c>
      <c r="D59" s="459">
        <v>262</v>
      </c>
    </row>
    <row r="60" spans="1:4" s="131" customFormat="1" ht="12.75">
      <c r="A60" s="127" t="s">
        <v>506</v>
      </c>
      <c r="B60" s="128"/>
      <c r="C60" s="389">
        <v>5000</v>
      </c>
      <c r="D60" s="459">
        <v>5000</v>
      </c>
    </row>
    <row r="61" spans="1:4" s="126" customFormat="1" ht="12.75">
      <c r="A61" s="129" t="s">
        <v>449</v>
      </c>
      <c r="B61" s="130">
        <f>SUM(B59:B59)</f>
        <v>50</v>
      </c>
      <c r="C61" s="391">
        <f>SUM(C59:C60)</f>
        <v>5050</v>
      </c>
      <c r="D61" s="461">
        <f>SUM(D59:D60)</f>
        <v>5262</v>
      </c>
    </row>
    <row r="62" spans="1:4" ht="12.75">
      <c r="A62" s="127"/>
      <c r="B62" s="389"/>
      <c r="C62" s="389"/>
      <c r="D62" s="459"/>
    </row>
    <row r="63" spans="1:4" ht="13.5" thickBot="1">
      <c r="A63" s="134" t="s">
        <v>141</v>
      </c>
      <c r="B63" s="379">
        <f>SUM(B23,B46,B56,B61)</f>
        <v>1613525</v>
      </c>
      <c r="C63" s="379">
        <f>SUM(C61+C56+C46+C23)</f>
        <v>566303</v>
      </c>
      <c r="D63" s="382">
        <f>SUM(D61+D56+D46+D23)</f>
        <v>500147</v>
      </c>
    </row>
    <row r="65" spans="1:3" ht="12.75">
      <c r="A65" s="176"/>
      <c r="B65" s="156"/>
      <c r="C65" s="156"/>
    </row>
    <row r="66" spans="1:4" ht="12.75">
      <c r="A66" s="1479" t="s">
        <v>464</v>
      </c>
      <c r="B66" s="1479"/>
      <c r="C66" s="1479"/>
      <c r="D66" s="1479"/>
    </row>
    <row r="67" spans="1:4" ht="12.75">
      <c r="A67" s="1479" t="s">
        <v>485</v>
      </c>
      <c r="B67" s="1479"/>
      <c r="C67" s="1479"/>
      <c r="D67" s="1479"/>
    </row>
    <row r="68" spans="1:4" ht="12.75">
      <c r="A68" s="1478" t="s">
        <v>466</v>
      </c>
      <c r="B68" s="1478"/>
      <c r="C68" s="1478"/>
      <c r="D68" s="1478"/>
    </row>
    <row r="69" ht="13.5" thickBot="1">
      <c r="A69" s="135"/>
    </row>
    <row r="70" spans="1:4" ht="12.75">
      <c r="A70" s="179" t="s">
        <v>216</v>
      </c>
      <c r="B70" s="180" t="s">
        <v>873</v>
      </c>
      <c r="C70" s="395" t="s">
        <v>33</v>
      </c>
      <c r="D70" s="392" t="s">
        <v>321</v>
      </c>
    </row>
    <row r="71" spans="1:4" ht="12.75">
      <c r="A71" s="182"/>
      <c r="B71" s="141"/>
      <c r="C71" s="396"/>
      <c r="D71" s="393"/>
    </row>
    <row r="72" spans="1:4" ht="12.75">
      <c r="A72" s="129" t="s">
        <v>473</v>
      </c>
      <c r="B72" s="141"/>
      <c r="C72" s="396"/>
      <c r="D72" s="393"/>
    </row>
    <row r="73" spans="1:4" ht="12.75">
      <c r="A73" s="127" t="s">
        <v>275</v>
      </c>
      <c r="B73" s="128">
        <v>185000</v>
      </c>
      <c r="C73" s="396"/>
      <c r="D73" s="393"/>
    </row>
    <row r="74" spans="1:4" ht="12.75">
      <c r="A74" s="127" t="s">
        <v>276</v>
      </c>
      <c r="B74" s="128">
        <v>675316</v>
      </c>
      <c r="C74" s="128"/>
      <c r="D74" s="380"/>
    </row>
    <row r="75" spans="1:4" ht="25.5">
      <c r="A75" s="132" t="s">
        <v>478</v>
      </c>
      <c r="B75" s="128">
        <v>115356</v>
      </c>
      <c r="C75" s="128"/>
      <c r="D75" s="380"/>
    </row>
    <row r="76" spans="1:4" ht="12.75" customHeight="1">
      <c r="A76" s="132" t="s">
        <v>277</v>
      </c>
      <c r="B76" s="128">
        <v>100000</v>
      </c>
      <c r="C76" s="128"/>
      <c r="D76" s="380"/>
    </row>
    <row r="77" spans="1:4" ht="12.75" customHeight="1">
      <c r="A77" s="132" t="s">
        <v>279</v>
      </c>
      <c r="B77" s="128">
        <v>58889</v>
      </c>
      <c r="C77" s="128"/>
      <c r="D77" s="380"/>
    </row>
    <row r="78" spans="1:4" ht="12.75" customHeight="1">
      <c r="A78" s="132" t="s">
        <v>280</v>
      </c>
      <c r="B78" s="128">
        <v>90625</v>
      </c>
      <c r="C78" s="396"/>
      <c r="D78" s="393"/>
    </row>
    <row r="79" spans="1:4" ht="25.5">
      <c r="A79" s="132" t="s">
        <v>340</v>
      </c>
      <c r="B79" s="128">
        <v>49966</v>
      </c>
      <c r="C79" s="396"/>
      <c r="D79" s="393"/>
    </row>
    <row r="80" spans="1:4" ht="12.75" customHeight="1">
      <c r="A80" s="132" t="s">
        <v>341</v>
      </c>
      <c r="B80" s="128">
        <v>15000</v>
      </c>
      <c r="C80" s="128"/>
      <c r="D80" s="380"/>
    </row>
    <row r="81" spans="1:4" ht="12.75">
      <c r="A81" s="132" t="s">
        <v>342</v>
      </c>
      <c r="B81" s="128">
        <v>44957</v>
      </c>
      <c r="C81" s="128"/>
      <c r="D81" s="380"/>
    </row>
    <row r="82" spans="1:4" ht="12.75">
      <c r="A82" s="132" t="s">
        <v>343</v>
      </c>
      <c r="B82" s="128">
        <v>117402</v>
      </c>
      <c r="C82" s="396"/>
      <c r="D82" s="393"/>
    </row>
    <row r="83" spans="1:4" ht="12.75">
      <c r="A83" s="127" t="s">
        <v>344</v>
      </c>
      <c r="B83" s="128">
        <v>52290</v>
      </c>
      <c r="C83" s="128"/>
      <c r="D83" s="380"/>
    </row>
    <row r="84" spans="1:4" ht="12.75">
      <c r="A84" s="127" t="s">
        <v>474</v>
      </c>
      <c r="B84" s="128">
        <v>113309</v>
      </c>
      <c r="C84" s="128"/>
      <c r="D84" s="380"/>
    </row>
    <row r="85" spans="1:4" ht="24.75" customHeight="1">
      <c r="A85" s="132" t="s">
        <v>475</v>
      </c>
      <c r="B85" s="128">
        <v>100697</v>
      </c>
      <c r="C85" s="128"/>
      <c r="D85" s="380"/>
    </row>
    <row r="86" spans="1:4" s="126" customFormat="1" ht="13.5" thickBot="1">
      <c r="A86" s="164" t="s">
        <v>449</v>
      </c>
      <c r="B86" s="165">
        <f>SUM(B73:B85)</f>
        <v>1718807</v>
      </c>
      <c r="C86" s="165">
        <f>SUM(C73:C85)</f>
        <v>0</v>
      </c>
      <c r="D86" s="394">
        <f>SUM(D73:D85)</f>
        <v>0</v>
      </c>
    </row>
    <row r="87" ht="12.75">
      <c r="A87" s="135"/>
    </row>
    <row r="88" ht="12.75">
      <c r="A88" s="135"/>
    </row>
    <row r="89" spans="1:4" ht="12.75">
      <c r="A89" s="1479" t="s">
        <v>1240</v>
      </c>
      <c r="B89" s="1479"/>
      <c r="C89" s="1479"/>
      <c r="D89" s="1479"/>
    </row>
    <row r="90" spans="1:4" ht="12.75">
      <c r="A90" s="1479" t="s">
        <v>465</v>
      </c>
      <c r="B90" s="1479"/>
      <c r="C90" s="1479"/>
      <c r="D90" s="1479"/>
    </row>
    <row r="91" spans="1:4" ht="12.75">
      <c r="A91" s="1478" t="s">
        <v>466</v>
      </c>
      <c r="B91" s="1478"/>
      <c r="C91" s="1478"/>
      <c r="D91" s="1478"/>
    </row>
    <row r="92" spans="1:3" ht="13.5" thickBot="1">
      <c r="A92" s="177"/>
      <c r="B92" s="178"/>
      <c r="C92" s="178"/>
    </row>
    <row r="93" spans="1:4" ht="12.75">
      <c r="A93" s="179" t="s">
        <v>216</v>
      </c>
      <c r="B93" s="180" t="s">
        <v>873</v>
      </c>
      <c r="C93" s="395" t="s">
        <v>33</v>
      </c>
      <c r="D93" s="392" t="s">
        <v>321</v>
      </c>
    </row>
    <row r="94" spans="1:4" ht="12.75">
      <c r="A94" s="181"/>
      <c r="B94" s="163"/>
      <c r="C94" s="396"/>
      <c r="D94" s="393"/>
    </row>
    <row r="95" spans="1:4" ht="12.75">
      <c r="A95" s="129" t="s">
        <v>4</v>
      </c>
      <c r="B95" s="128"/>
      <c r="C95" s="396"/>
      <c r="D95" s="393"/>
    </row>
    <row r="96" spans="1:4" ht="12.75">
      <c r="A96" s="127" t="s">
        <v>494</v>
      </c>
      <c r="B96" s="128">
        <v>8431</v>
      </c>
      <c r="C96" s="396"/>
      <c r="D96" s="393">
        <v>175</v>
      </c>
    </row>
    <row r="97" spans="1:4" ht="12.75">
      <c r="A97" s="168"/>
      <c r="B97" s="169"/>
      <c r="C97" s="396"/>
      <c r="D97" s="393"/>
    </row>
    <row r="98" spans="1:4" s="126" customFormat="1" ht="13.5" thickBot="1">
      <c r="A98" s="164" t="s">
        <v>449</v>
      </c>
      <c r="B98" s="165">
        <f>SUM(B96:B96)</f>
        <v>8431</v>
      </c>
      <c r="C98" s="165">
        <f>SUM(C96:C96)</f>
        <v>0</v>
      </c>
      <c r="D98" s="556">
        <f>SUM(D96:D96)</f>
        <v>175</v>
      </c>
    </row>
    <row r="99" ht="12.75">
      <c r="A99" s="135"/>
    </row>
    <row r="100" spans="1:4" ht="12.75">
      <c r="A100" s="1479" t="s">
        <v>869</v>
      </c>
      <c r="B100" s="1479"/>
      <c r="C100" s="1479"/>
      <c r="D100" s="1479"/>
    </row>
    <row r="101" spans="1:4" ht="12.75">
      <c r="A101" s="1479" t="s">
        <v>465</v>
      </c>
      <c r="B101" s="1479"/>
      <c r="C101" s="1479"/>
      <c r="D101" s="1479"/>
    </row>
    <row r="102" spans="1:4" ht="12.75">
      <c r="A102" s="1478" t="s">
        <v>466</v>
      </c>
      <c r="B102" s="1478"/>
      <c r="C102" s="1478"/>
      <c r="D102" s="1478"/>
    </row>
    <row r="103" spans="1:3" ht="13.5" thickBot="1">
      <c r="A103" s="177"/>
      <c r="B103" s="178"/>
      <c r="C103" s="178"/>
    </row>
    <row r="104" spans="1:4" ht="12.75">
      <c r="A104" s="179" t="s">
        <v>216</v>
      </c>
      <c r="B104" s="180" t="s">
        <v>873</v>
      </c>
      <c r="C104" s="395" t="s">
        <v>33</v>
      </c>
      <c r="D104" s="392" t="s">
        <v>321</v>
      </c>
    </row>
    <row r="105" spans="1:4" ht="12.75">
      <c r="A105" s="129" t="s">
        <v>4</v>
      </c>
      <c r="B105" s="128"/>
      <c r="C105" s="396"/>
      <c r="D105" s="393"/>
    </row>
    <row r="106" spans="1:4" ht="12.75" customHeight="1">
      <c r="A106" s="129"/>
      <c r="B106" s="128"/>
      <c r="C106" s="396"/>
      <c r="D106" s="393"/>
    </row>
    <row r="107" spans="1:4" ht="13.5">
      <c r="A107" s="159" t="s">
        <v>495</v>
      </c>
      <c r="B107" s="128"/>
      <c r="C107" s="396"/>
      <c r="D107" s="393"/>
    </row>
    <row r="108" spans="1:4" ht="12.75">
      <c r="A108" s="127" t="s">
        <v>494</v>
      </c>
      <c r="B108" s="128">
        <v>0</v>
      </c>
      <c r="C108" s="389">
        <v>5000</v>
      </c>
      <c r="D108" s="459">
        <v>6247</v>
      </c>
    </row>
    <row r="109" spans="1:4" ht="12.75">
      <c r="A109" s="127" t="s">
        <v>496</v>
      </c>
      <c r="B109" s="128"/>
      <c r="C109" s="128">
        <v>5349</v>
      </c>
      <c r="D109" s="380">
        <v>5349</v>
      </c>
    </row>
    <row r="110" spans="1:4" ht="12.75">
      <c r="A110" s="127" t="s">
        <v>507</v>
      </c>
      <c r="B110" s="128"/>
      <c r="C110" s="128">
        <v>518</v>
      </c>
      <c r="D110" s="380">
        <v>518</v>
      </c>
    </row>
    <row r="111" spans="1:4" ht="12.75">
      <c r="A111" s="127" t="s">
        <v>734</v>
      </c>
      <c r="B111" s="128"/>
      <c r="C111" s="128">
        <v>2730</v>
      </c>
      <c r="D111" s="380">
        <v>2660</v>
      </c>
    </row>
    <row r="112" spans="1:4" ht="12.75">
      <c r="A112" s="127" t="s">
        <v>193</v>
      </c>
      <c r="B112" s="128"/>
      <c r="C112" s="128">
        <v>305</v>
      </c>
      <c r="D112" s="380">
        <v>305</v>
      </c>
    </row>
    <row r="113" spans="1:4" ht="12.75">
      <c r="A113" s="127" t="s">
        <v>73</v>
      </c>
      <c r="B113" s="128"/>
      <c r="C113" s="128">
        <v>652</v>
      </c>
      <c r="D113" s="380">
        <v>652</v>
      </c>
    </row>
    <row r="114" spans="1:4" s="172" customFormat="1" ht="13.5">
      <c r="A114" s="159" t="s">
        <v>406</v>
      </c>
      <c r="B114" s="160">
        <f>SUM(B108:B112)</f>
        <v>0</v>
      </c>
      <c r="C114" s="160">
        <f>SUM(C108:C113)</f>
        <v>14554</v>
      </c>
      <c r="D114" s="670">
        <f>SUM(D108:D113)</f>
        <v>15731</v>
      </c>
    </row>
    <row r="115" spans="1:4" ht="12.75" customHeight="1">
      <c r="A115" s="127"/>
      <c r="B115" s="128"/>
      <c r="C115" s="396"/>
      <c r="D115" s="393"/>
    </row>
    <row r="116" spans="1:4" s="172" customFormat="1" ht="13.5">
      <c r="A116" s="159" t="s">
        <v>497</v>
      </c>
      <c r="B116" s="160"/>
      <c r="C116" s="397"/>
      <c r="D116" s="672"/>
    </row>
    <row r="117" spans="1:4" s="131" customFormat="1" ht="12.75">
      <c r="A117" s="127" t="s">
        <v>498</v>
      </c>
      <c r="B117" s="128"/>
      <c r="C117" s="128">
        <v>2633</v>
      </c>
      <c r="D117" s="380">
        <v>2633</v>
      </c>
    </row>
    <row r="118" spans="1:4" s="131" customFormat="1" ht="12.75">
      <c r="A118" s="127" t="s">
        <v>511</v>
      </c>
      <c r="B118" s="128"/>
      <c r="C118" s="128">
        <v>0</v>
      </c>
      <c r="D118" s="380"/>
    </row>
    <row r="119" spans="1:4" s="131" customFormat="1" ht="12.75">
      <c r="A119" s="127" t="s">
        <v>512</v>
      </c>
      <c r="B119" s="128"/>
      <c r="C119" s="128">
        <v>13056</v>
      </c>
      <c r="D119" s="380">
        <v>14833</v>
      </c>
    </row>
    <row r="120" spans="1:4" s="172" customFormat="1" ht="13.5">
      <c r="A120" s="159" t="s">
        <v>411</v>
      </c>
      <c r="B120" s="160">
        <f>SUM(B118)</f>
        <v>0</v>
      </c>
      <c r="C120" s="160">
        <f>SUM(C117:C119)</f>
        <v>15689</v>
      </c>
      <c r="D120" s="670">
        <f>SUM(D117:D119)</f>
        <v>17466</v>
      </c>
    </row>
    <row r="121" spans="1:4" ht="12.75" customHeight="1">
      <c r="A121" s="127"/>
      <c r="B121" s="128"/>
      <c r="C121" s="396"/>
      <c r="D121" s="393"/>
    </row>
    <row r="122" spans="1:4" s="172" customFormat="1" ht="13.5">
      <c r="A122" s="159" t="s">
        <v>412</v>
      </c>
      <c r="B122" s="160"/>
      <c r="C122" s="397"/>
      <c r="D122" s="672"/>
    </row>
    <row r="123" spans="1:4" ht="12.75">
      <c r="A123" s="127" t="s">
        <v>498</v>
      </c>
      <c r="B123" s="128"/>
      <c r="C123" s="128">
        <v>196</v>
      </c>
      <c r="D123" s="380">
        <v>196</v>
      </c>
    </row>
    <row r="124" spans="1:4" ht="12.75">
      <c r="A124" s="127" t="s">
        <v>512</v>
      </c>
      <c r="B124" s="128"/>
      <c r="C124" s="128">
        <v>4169</v>
      </c>
      <c r="D124" s="380">
        <v>4827</v>
      </c>
    </row>
    <row r="125" spans="1:4" s="172" customFormat="1" ht="13.5">
      <c r="A125" s="159" t="s">
        <v>413</v>
      </c>
      <c r="B125" s="160">
        <f>SUM(B123)</f>
        <v>0</v>
      </c>
      <c r="C125" s="160">
        <f>SUM(C123:C124)</f>
        <v>4365</v>
      </c>
      <c r="D125" s="670">
        <f>SUM(D123:D124)</f>
        <v>5023</v>
      </c>
    </row>
    <row r="126" spans="1:4" ht="12.75" customHeight="1">
      <c r="A126" s="127"/>
      <c r="B126" s="128"/>
      <c r="C126" s="396"/>
      <c r="D126" s="393"/>
    </row>
    <row r="127" spans="1:4" s="172" customFormat="1" ht="13.5">
      <c r="A127" s="159" t="s">
        <v>407</v>
      </c>
      <c r="B127" s="160"/>
      <c r="C127" s="397"/>
      <c r="D127" s="672"/>
    </row>
    <row r="128" spans="1:4" s="131" customFormat="1" ht="12.75">
      <c r="A128" s="127" t="s">
        <v>498</v>
      </c>
      <c r="B128" s="128"/>
      <c r="C128" s="128">
        <v>2314</v>
      </c>
      <c r="D128" s="380">
        <v>2314</v>
      </c>
    </row>
    <row r="129" spans="1:4" s="131" customFormat="1" ht="12.75">
      <c r="A129" s="127" t="s">
        <v>512</v>
      </c>
      <c r="B129" s="128"/>
      <c r="C129" s="128">
        <v>3052</v>
      </c>
      <c r="D129" s="380">
        <v>3052</v>
      </c>
    </row>
    <row r="130" spans="1:4" s="131" customFormat="1" ht="12.75">
      <c r="A130" s="127" t="s">
        <v>508</v>
      </c>
      <c r="B130" s="128"/>
      <c r="C130" s="128">
        <v>879</v>
      </c>
      <c r="D130" s="380">
        <v>879</v>
      </c>
    </row>
    <row r="131" spans="1:4" s="131" customFormat="1" ht="12.75">
      <c r="A131" s="127" t="s">
        <v>509</v>
      </c>
      <c r="B131" s="128"/>
      <c r="C131" s="128">
        <v>9269</v>
      </c>
      <c r="D131" s="380">
        <v>11464</v>
      </c>
    </row>
    <row r="132" spans="1:4" s="131" customFormat="1" ht="12.75">
      <c r="A132" s="127" t="s">
        <v>510</v>
      </c>
      <c r="B132" s="128"/>
      <c r="C132" s="128">
        <v>2185</v>
      </c>
      <c r="D132" s="380">
        <v>2185</v>
      </c>
    </row>
    <row r="133" spans="1:4" s="172" customFormat="1" ht="13.5">
      <c r="A133" s="159" t="s">
        <v>408</v>
      </c>
      <c r="B133" s="160">
        <f>SUM(B128:B129)</f>
        <v>0</v>
      </c>
      <c r="C133" s="160">
        <f>SUM(C128:C132)</f>
        <v>17699</v>
      </c>
      <c r="D133" s="670">
        <f>SUM(D128:D132)</f>
        <v>19894</v>
      </c>
    </row>
    <row r="134" spans="1:4" ht="12.75">
      <c r="A134" s="127"/>
      <c r="B134" s="128"/>
      <c r="C134" s="396"/>
      <c r="D134" s="393"/>
    </row>
    <row r="135" spans="1:4" ht="13.5" thickBot="1">
      <c r="A135" s="164" t="s">
        <v>449</v>
      </c>
      <c r="B135" s="165">
        <f>SUM(B108:B108)</f>
        <v>0</v>
      </c>
      <c r="C135" s="165">
        <f>SUM(C133,C125,C120,C114)</f>
        <v>52307</v>
      </c>
      <c r="D135" s="394">
        <f>SUM(D133,D125,D120,D114)</f>
        <v>58114</v>
      </c>
    </row>
    <row r="136" ht="12.75">
      <c r="A136" s="135"/>
    </row>
    <row r="137" ht="12.75">
      <c r="A137" s="135"/>
    </row>
    <row r="138" ht="12.75">
      <c r="A138" s="135"/>
    </row>
    <row r="139" ht="12.75">
      <c r="A139" s="135"/>
    </row>
    <row r="140" ht="12.75">
      <c r="A140" s="135"/>
    </row>
    <row r="141" ht="12.75">
      <c r="A141" s="135"/>
    </row>
    <row r="142" ht="12.75">
      <c r="A142" s="135"/>
    </row>
    <row r="143" ht="12.75">
      <c r="A143" s="135"/>
    </row>
    <row r="144" ht="12.75">
      <c r="A144" s="135"/>
    </row>
    <row r="145" ht="12.75">
      <c r="A145" s="135"/>
    </row>
    <row r="146" ht="12.75">
      <c r="A146" s="135"/>
    </row>
    <row r="147" ht="12.75">
      <c r="A147" s="135"/>
    </row>
    <row r="148" ht="12.75">
      <c r="A148" s="135"/>
    </row>
    <row r="149" ht="12.75">
      <c r="A149" s="135"/>
    </row>
    <row r="150" ht="12.75">
      <c r="A150" s="135"/>
    </row>
    <row r="151" ht="12.75">
      <c r="A151" s="135"/>
    </row>
    <row r="152" ht="12.75">
      <c r="A152" s="135"/>
    </row>
    <row r="153" ht="12.75">
      <c r="A153" s="135"/>
    </row>
    <row r="154" ht="12.75">
      <c r="A154" s="135"/>
    </row>
  </sheetData>
  <sheetProtection/>
  <mergeCells count="12">
    <mergeCell ref="A67:D67"/>
    <mergeCell ref="A68:D68"/>
    <mergeCell ref="A102:D102"/>
    <mergeCell ref="A89:D89"/>
    <mergeCell ref="A90:D90"/>
    <mergeCell ref="A91:D91"/>
    <mergeCell ref="A100:D100"/>
    <mergeCell ref="A2:D2"/>
    <mergeCell ref="A3:D3"/>
    <mergeCell ref="A101:D101"/>
    <mergeCell ref="A4:D4"/>
    <mergeCell ref="A66:D66"/>
  </mergeCells>
  <printOptions horizontalCentered="1"/>
  <pageMargins left="0.3937007874015748" right="0.3937007874015748" top="0.49" bottom="0" header="0.22" footer="0.23"/>
  <pageSetup horizontalDpi="600" verticalDpi="600" orientation="portrait" paperSize="9" scale="83" r:id="rId1"/>
  <headerFooter alignWithMargins="0">
    <oddHeader>&amp;L 12. melléklet a 8/2014.(V.5.) önkormányzati rendelethez</oddHeader>
  </headerFooter>
  <rowBreaks count="1" manualBreakCount="1">
    <brk id="64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view="pageLayout" zoomScaleSheetLayoutView="100" workbookViewId="0" topLeftCell="A1">
      <selection activeCell="A5" sqref="A5:A6"/>
    </sheetView>
  </sheetViews>
  <sheetFormatPr defaultColWidth="9.00390625" defaultRowHeight="12.75"/>
  <cols>
    <col min="1" max="1" width="46.875" style="184" customWidth="1"/>
    <col min="2" max="2" width="16.75390625" style="184" customWidth="1"/>
    <col min="3" max="3" width="14.75390625" style="184" customWidth="1"/>
    <col min="4" max="4" width="14.25390625" style="184" customWidth="1"/>
    <col min="5" max="16384" width="9.125" style="184" customWidth="1"/>
  </cols>
  <sheetData>
    <row r="1" ht="12.75">
      <c r="A1" s="183"/>
    </row>
    <row r="2" ht="15.75">
      <c r="A2" s="185"/>
    </row>
    <row r="3" spans="1:4" ht="15" customHeight="1">
      <c r="A3" s="1484" t="s">
        <v>513</v>
      </c>
      <c r="B3" s="1484"/>
      <c r="C3" s="1484"/>
      <c r="D3" s="1484"/>
    </row>
    <row r="4" spans="1:2" ht="14.25" customHeight="1" thickBot="1">
      <c r="A4" s="186"/>
      <c r="B4" s="187"/>
    </row>
    <row r="5" spans="1:4" ht="54.75" customHeight="1">
      <c r="A5" s="1480" t="s">
        <v>514</v>
      </c>
      <c r="B5" s="188" t="s">
        <v>515</v>
      </c>
      <c r="C5" s="400" t="s">
        <v>515</v>
      </c>
      <c r="D5" s="398" t="s">
        <v>1245</v>
      </c>
    </row>
    <row r="6" spans="1:4" ht="15" customHeight="1" thickBot="1">
      <c r="A6" s="1481"/>
      <c r="B6" s="189" t="s">
        <v>873</v>
      </c>
      <c r="C6" s="401" t="s">
        <v>33</v>
      </c>
      <c r="D6" s="399" t="s">
        <v>321</v>
      </c>
    </row>
    <row r="7" spans="1:4" ht="15" customHeight="1">
      <c r="A7" s="190" t="s">
        <v>185</v>
      </c>
      <c r="B7" s="191">
        <v>20</v>
      </c>
      <c r="C7" s="402">
        <v>22</v>
      </c>
      <c r="D7" s="545">
        <v>20.8</v>
      </c>
    </row>
    <row r="8" spans="1:4" ht="15" customHeight="1">
      <c r="A8" s="190" t="s">
        <v>186</v>
      </c>
      <c r="B8" s="191">
        <v>7</v>
      </c>
      <c r="C8" s="402">
        <v>7</v>
      </c>
      <c r="D8" s="546">
        <v>6.7</v>
      </c>
    </row>
    <row r="9" spans="1:4" ht="15" customHeight="1">
      <c r="A9" s="190" t="s">
        <v>187</v>
      </c>
      <c r="B9" s="191">
        <v>16.75</v>
      </c>
      <c r="C9" s="402">
        <v>18.75</v>
      </c>
      <c r="D9" s="546">
        <v>17.7</v>
      </c>
    </row>
    <row r="10" spans="1:4" ht="15" customHeight="1">
      <c r="A10" s="190" t="s">
        <v>516</v>
      </c>
      <c r="B10" s="191">
        <v>21</v>
      </c>
      <c r="C10" s="402">
        <v>23</v>
      </c>
      <c r="D10" s="546">
        <v>21.5</v>
      </c>
    </row>
    <row r="11" spans="1:4" ht="15" customHeight="1">
      <c r="A11" s="190" t="s">
        <v>188</v>
      </c>
      <c r="B11" s="191">
        <v>15.5</v>
      </c>
      <c r="C11" s="402">
        <v>16.5</v>
      </c>
      <c r="D11" s="546">
        <v>16.7</v>
      </c>
    </row>
    <row r="12" spans="1:4" ht="15" customHeight="1">
      <c r="A12" s="190" t="s">
        <v>189</v>
      </c>
      <c r="B12" s="191">
        <v>15</v>
      </c>
      <c r="C12" s="402">
        <v>15</v>
      </c>
      <c r="D12" s="546">
        <v>14.8</v>
      </c>
    </row>
    <row r="13" spans="1:4" ht="15" customHeight="1">
      <c r="A13" s="190" t="s">
        <v>190</v>
      </c>
      <c r="B13" s="191">
        <v>3.5</v>
      </c>
      <c r="C13" s="402">
        <v>3.5</v>
      </c>
      <c r="D13" s="546">
        <v>4</v>
      </c>
    </row>
    <row r="14" spans="1:4" ht="15" customHeight="1">
      <c r="A14" s="190" t="s">
        <v>517</v>
      </c>
      <c r="B14" s="191">
        <v>32</v>
      </c>
      <c r="C14" s="402">
        <v>32</v>
      </c>
      <c r="D14" s="546">
        <v>30.9</v>
      </c>
    </row>
    <row r="15" spans="1:4" ht="15.75" customHeight="1">
      <c r="A15" s="190" t="s">
        <v>518</v>
      </c>
      <c r="B15" s="191">
        <v>9.5</v>
      </c>
      <c r="C15" s="402">
        <v>9.5</v>
      </c>
      <c r="D15" s="546">
        <v>9.8</v>
      </c>
    </row>
    <row r="16" spans="1:4" ht="15" customHeight="1">
      <c r="A16" s="192" t="s">
        <v>197</v>
      </c>
      <c r="B16" s="193">
        <v>53.5</v>
      </c>
      <c r="C16" s="206">
        <v>0</v>
      </c>
      <c r="D16" s="547">
        <v>0</v>
      </c>
    </row>
    <row r="17" spans="1:4" ht="15" customHeight="1">
      <c r="A17" s="190" t="s">
        <v>196</v>
      </c>
      <c r="B17" s="191">
        <v>8</v>
      </c>
      <c r="C17" s="402">
        <v>8</v>
      </c>
      <c r="D17" s="546">
        <v>8.6</v>
      </c>
    </row>
    <row r="18" spans="1:4" ht="15" customHeight="1">
      <c r="A18" s="493" t="s">
        <v>334</v>
      </c>
      <c r="B18" s="492"/>
      <c r="C18" s="402">
        <v>19</v>
      </c>
      <c r="D18" s="546">
        <v>17</v>
      </c>
    </row>
    <row r="19" spans="1:4" ht="15" customHeight="1">
      <c r="A19" s="194" t="s">
        <v>519</v>
      </c>
      <c r="B19" s="353">
        <v>37</v>
      </c>
      <c r="C19" s="403">
        <v>37</v>
      </c>
      <c r="D19" s="548">
        <v>37</v>
      </c>
    </row>
    <row r="20" spans="1:4" ht="15" customHeight="1">
      <c r="A20" s="195" t="s">
        <v>526</v>
      </c>
      <c r="B20" s="196">
        <f>SUM(B7:B19)</f>
        <v>238.75</v>
      </c>
      <c r="C20" s="404">
        <f>SUM(C7:C19)</f>
        <v>211.25</v>
      </c>
      <c r="D20" s="549">
        <f>SUM(D7:D19)</f>
        <v>205.5</v>
      </c>
    </row>
    <row r="21" spans="1:4" ht="15" customHeight="1">
      <c r="A21" s="195"/>
      <c r="B21" s="196"/>
      <c r="C21" s="404"/>
      <c r="D21" s="549"/>
    </row>
    <row r="22" spans="1:4" ht="15" customHeight="1">
      <c r="A22" s="346" t="s">
        <v>1246</v>
      </c>
      <c r="B22" s="347">
        <v>66</v>
      </c>
      <c r="C22" s="404"/>
      <c r="D22" s="549"/>
    </row>
    <row r="23" spans="1:4" ht="15" customHeight="1">
      <c r="A23" s="190"/>
      <c r="B23" s="191"/>
      <c r="C23" s="405"/>
      <c r="D23" s="550"/>
    </row>
    <row r="24" spans="1:4" ht="15" customHeight="1">
      <c r="A24" s="346" t="s">
        <v>869</v>
      </c>
      <c r="B24" s="191"/>
      <c r="C24" s="402"/>
      <c r="D24" s="546"/>
    </row>
    <row r="25" spans="1:4" ht="15" customHeight="1">
      <c r="A25" s="207" t="s">
        <v>610</v>
      </c>
      <c r="B25" s="350"/>
      <c r="C25" s="206">
        <v>66</v>
      </c>
      <c r="D25" s="547">
        <v>65.8</v>
      </c>
    </row>
    <row r="26" spans="1:4" ht="15" customHeight="1">
      <c r="A26" s="207" t="s">
        <v>530</v>
      </c>
      <c r="B26" s="193"/>
      <c r="C26" s="206">
        <v>5</v>
      </c>
      <c r="D26" s="547">
        <v>4</v>
      </c>
    </row>
    <row r="27" spans="1:4" ht="15" customHeight="1">
      <c r="A27" s="207" t="s">
        <v>531</v>
      </c>
      <c r="B27" s="193"/>
      <c r="C27" s="206">
        <v>3</v>
      </c>
      <c r="D27" s="547">
        <v>3</v>
      </c>
    </row>
    <row r="28" spans="1:4" ht="15" customHeight="1">
      <c r="A28" s="207" t="s">
        <v>532</v>
      </c>
      <c r="B28" s="193"/>
      <c r="C28" s="206">
        <v>6</v>
      </c>
      <c r="D28" s="547">
        <v>6</v>
      </c>
    </row>
    <row r="29" spans="1:4" ht="15" customHeight="1">
      <c r="A29" s="190" t="s">
        <v>844</v>
      </c>
      <c r="B29" s="197"/>
      <c r="C29" s="206">
        <v>3</v>
      </c>
      <c r="D29" s="547">
        <v>3</v>
      </c>
    </row>
    <row r="30" spans="1:4" ht="15" customHeight="1">
      <c r="A30" s="346" t="s">
        <v>161</v>
      </c>
      <c r="B30" s="348">
        <f>SUM(B25:B28)</f>
        <v>0</v>
      </c>
      <c r="C30" s="349">
        <f>SUM(C25:C29)</f>
        <v>83</v>
      </c>
      <c r="D30" s="551">
        <f>SUM(D25:D29)</f>
        <v>81.8</v>
      </c>
    </row>
    <row r="31" spans="1:4" ht="15" customHeight="1">
      <c r="A31" s="346"/>
      <c r="B31" s="197"/>
      <c r="C31" s="405"/>
      <c r="D31" s="550"/>
    </row>
    <row r="32" spans="1:4" ht="15" customHeight="1">
      <c r="A32" s="346" t="s">
        <v>162</v>
      </c>
      <c r="B32" s="347">
        <v>3</v>
      </c>
      <c r="C32" s="465">
        <v>3</v>
      </c>
      <c r="D32" s="552">
        <v>3</v>
      </c>
    </row>
    <row r="33" spans="1:4" ht="15" customHeight="1">
      <c r="A33" s="195"/>
      <c r="B33" s="196"/>
      <c r="C33" s="404"/>
      <c r="D33" s="549"/>
    </row>
    <row r="34" spans="1:4" s="198" customFormat="1" ht="15" customHeight="1">
      <c r="A34" s="346" t="s">
        <v>163</v>
      </c>
      <c r="B34" s="196">
        <v>3</v>
      </c>
      <c r="C34" s="466">
        <v>5</v>
      </c>
      <c r="D34" s="553">
        <v>4</v>
      </c>
    </row>
    <row r="35" spans="1:4" ht="15" customHeight="1" thickBot="1">
      <c r="A35" s="351"/>
      <c r="B35" s="197"/>
      <c r="C35" s="406"/>
      <c r="D35" s="554"/>
    </row>
    <row r="36" spans="1:4" ht="15" customHeight="1" thickBot="1">
      <c r="A36" s="352" t="s">
        <v>141</v>
      </c>
      <c r="B36" s="304">
        <f>SUM(B20+B22+B30+B32+B34)</f>
        <v>310.75</v>
      </c>
      <c r="C36" s="407">
        <f>SUM(C20+C22+C30+C32+C34)</f>
        <v>302.25</v>
      </c>
      <c r="D36" s="555">
        <f>SUM(D20+D22+D30+D32+D34)</f>
        <v>294.3</v>
      </c>
    </row>
    <row r="37" spans="1:2" ht="18.75">
      <c r="A37" s="199"/>
      <c r="B37" s="200"/>
    </row>
    <row r="38" ht="15.75">
      <c r="A38" s="201"/>
    </row>
    <row r="39" spans="1:4" ht="12.75">
      <c r="A39" s="1485" t="s">
        <v>528</v>
      </c>
      <c r="B39" s="1485"/>
      <c r="C39" s="1485"/>
      <c r="D39" s="1485"/>
    </row>
    <row r="40" ht="13.5" thickBot="1"/>
    <row r="41" spans="1:4" ht="51">
      <c r="A41" s="1482" t="s">
        <v>216</v>
      </c>
      <c r="B41" s="412" t="s">
        <v>529</v>
      </c>
      <c r="C41" s="400" t="s">
        <v>515</v>
      </c>
      <c r="D41" s="398" t="s">
        <v>1245</v>
      </c>
    </row>
    <row r="42" spans="1:4" ht="13.5" thickBot="1">
      <c r="A42" s="1483"/>
      <c r="B42" s="413" t="s">
        <v>873</v>
      </c>
      <c r="C42" s="401" t="s">
        <v>33</v>
      </c>
      <c r="D42" s="399" t="s">
        <v>321</v>
      </c>
    </row>
    <row r="43" spans="1:4" ht="12.75">
      <c r="A43" s="202" t="s">
        <v>772</v>
      </c>
      <c r="B43" s="414">
        <v>50</v>
      </c>
      <c r="C43" s="463">
        <v>58</v>
      </c>
      <c r="D43" s="427">
        <v>31</v>
      </c>
    </row>
    <row r="44" spans="1:4" ht="13.5" thickBot="1">
      <c r="A44" s="203" t="s">
        <v>843</v>
      </c>
      <c r="B44" s="415"/>
      <c r="C44" s="464">
        <v>28</v>
      </c>
      <c r="D44" s="428">
        <v>15</v>
      </c>
    </row>
    <row r="45" spans="1:4" s="205" customFormat="1" ht="13.5" thickBot="1">
      <c r="A45" s="204" t="s">
        <v>449</v>
      </c>
      <c r="B45" s="416">
        <f>SUM(B43:B44)</f>
        <v>50</v>
      </c>
      <c r="C45" s="416">
        <f>SUM(C43:C44)</f>
        <v>86</v>
      </c>
      <c r="D45" s="411">
        <f>SUM(D43:D44)</f>
        <v>46</v>
      </c>
    </row>
  </sheetData>
  <sheetProtection/>
  <mergeCells count="4">
    <mergeCell ref="A5:A6"/>
    <mergeCell ref="A41:A42"/>
    <mergeCell ref="A3:D3"/>
    <mergeCell ref="A39:D39"/>
  </mergeCells>
  <printOptions horizontalCentered="1"/>
  <pageMargins left="0.15748031496062992" right="0.15748031496062992" top="0.76" bottom="0.47" header="0.39" footer="0.5118110236220472"/>
  <pageSetup horizontalDpi="600" verticalDpi="600" orientation="portrait" paperSize="9" r:id="rId1"/>
  <headerFooter alignWithMargins="0">
    <oddHeader>&amp;L&amp;8 13. melléklet a 8/2014.(V.5.)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71"/>
  <sheetViews>
    <sheetView view="pageLayout" workbookViewId="0" topLeftCell="A1">
      <selection activeCell="A4" sqref="A4"/>
    </sheetView>
  </sheetViews>
  <sheetFormatPr defaultColWidth="9.00390625" defaultRowHeight="12.75"/>
  <cols>
    <col min="1" max="1" width="67.125" style="8" customWidth="1"/>
    <col min="2" max="2" width="16.00390625" style="19" customWidth="1"/>
    <col min="3" max="16384" width="9.125" style="8" customWidth="1"/>
  </cols>
  <sheetData>
    <row r="1" spans="1:2" ht="15.75">
      <c r="A1" s="1349" t="s">
        <v>1194</v>
      </c>
      <c r="B1" s="1486"/>
    </row>
    <row r="2" spans="1:2" ht="15.75">
      <c r="A2" s="1349" t="s">
        <v>1238</v>
      </c>
      <c r="B2" s="1486"/>
    </row>
    <row r="3" spans="1:2" ht="15.75">
      <c r="A3" s="1349"/>
      <c r="B3" s="1486"/>
    </row>
    <row r="4" ht="13.5" thickBot="1"/>
    <row r="5" spans="1:2" ht="12.75">
      <c r="A5" s="1125" t="s">
        <v>1195</v>
      </c>
      <c r="B5" s="1126"/>
    </row>
    <row r="6" spans="1:2" ht="12.75">
      <c r="A6" s="1127" t="s">
        <v>1196</v>
      </c>
      <c r="B6" s="1128"/>
    </row>
    <row r="7" spans="1:2" ht="12.75">
      <c r="A7" s="1127"/>
      <c r="B7" s="1129"/>
    </row>
    <row r="8" spans="1:2" ht="12.75">
      <c r="A8" s="26" t="s">
        <v>1197</v>
      </c>
      <c r="B8" s="1129"/>
    </row>
    <row r="9" spans="1:2" ht="12.75">
      <c r="A9" s="15" t="s">
        <v>1198</v>
      </c>
      <c r="B9" s="1128"/>
    </row>
    <row r="10" spans="1:2" ht="12.75">
      <c r="A10" s="15" t="s">
        <v>1199</v>
      </c>
      <c r="B10" s="1128">
        <v>6163</v>
      </c>
    </row>
    <row r="11" spans="1:2" ht="12.75">
      <c r="A11" s="15" t="s">
        <v>1200</v>
      </c>
      <c r="B11" s="1128">
        <v>181</v>
      </c>
    </row>
    <row r="12" spans="1:2" ht="12.75">
      <c r="A12" s="15" t="s">
        <v>1201</v>
      </c>
      <c r="B12" s="1128"/>
    </row>
    <row r="13" spans="1:2" ht="12.75">
      <c r="A13" s="1130" t="s">
        <v>1202</v>
      </c>
      <c r="B13" s="1128">
        <v>17750</v>
      </c>
    </row>
    <row r="14" spans="1:2" ht="12.75">
      <c r="A14" s="12" t="s">
        <v>1203</v>
      </c>
      <c r="B14" s="1131">
        <f>SUM(B6:B13)</f>
        <v>24094</v>
      </c>
    </row>
    <row r="15" spans="1:2" ht="12.75">
      <c r="A15" s="15"/>
      <c r="B15" s="1128"/>
    </row>
    <row r="16" spans="1:2" ht="12.75">
      <c r="A16" s="12" t="s">
        <v>1204</v>
      </c>
      <c r="B16" s="1128"/>
    </row>
    <row r="17" spans="1:2" ht="12.75">
      <c r="A17" s="15" t="s">
        <v>1205</v>
      </c>
      <c r="B17" s="1128"/>
    </row>
    <row r="18" spans="1:2" ht="12.75">
      <c r="A18" s="15" t="s">
        <v>1206</v>
      </c>
      <c r="B18" s="1128">
        <v>4383</v>
      </c>
    </row>
    <row r="19" spans="1:2" ht="12.75">
      <c r="A19" s="12" t="s">
        <v>1207</v>
      </c>
      <c r="B19" s="1131">
        <f>SUM(B18)</f>
        <v>4383</v>
      </c>
    </row>
    <row r="20" spans="1:2" ht="12.75">
      <c r="A20" s="15"/>
      <c r="B20" s="1128"/>
    </row>
    <row r="21" spans="1:2" ht="25.5">
      <c r="A21" s="1132" t="s">
        <v>1208</v>
      </c>
      <c r="B21" s="1128"/>
    </row>
    <row r="22" spans="1:2" ht="12.75">
      <c r="A22" s="15"/>
      <c r="B22" s="1128"/>
    </row>
    <row r="23" spans="1:2" ht="26.25" customHeight="1">
      <c r="A23" s="12" t="s">
        <v>1209</v>
      </c>
      <c r="B23" s="1131">
        <v>7775</v>
      </c>
    </row>
    <row r="24" spans="1:2" ht="12.75">
      <c r="A24" s="15"/>
      <c r="B24" s="1128"/>
    </row>
    <row r="25" spans="1:2" ht="12.75">
      <c r="A25" s="12" t="s">
        <v>1210</v>
      </c>
      <c r="B25" s="1128"/>
    </row>
    <row r="26" spans="1:2" ht="12.75">
      <c r="A26" s="15" t="s">
        <v>1211</v>
      </c>
      <c r="B26" s="1128">
        <v>24367</v>
      </c>
    </row>
    <row r="27" spans="1:2" ht="12.75">
      <c r="A27" s="15" t="s">
        <v>1212</v>
      </c>
      <c r="B27" s="1128">
        <v>11177</v>
      </c>
    </row>
    <row r="28" spans="1:2" ht="12.75">
      <c r="A28" s="15" t="s">
        <v>1213</v>
      </c>
      <c r="B28" s="1128">
        <v>24023</v>
      </c>
    </row>
    <row r="29" spans="1:2" ht="12.75">
      <c r="A29" s="15" t="s">
        <v>1214</v>
      </c>
      <c r="B29" s="1133">
        <v>9143</v>
      </c>
    </row>
    <row r="30" spans="1:2" ht="12.75">
      <c r="A30" s="15" t="s">
        <v>1215</v>
      </c>
      <c r="B30" s="1128">
        <v>602</v>
      </c>
    </row>
    <row r="31" spans="1:2" ht="12.75">
      <c r="A31" s="15" t="s">
        <v>1216</v>
      </c>
      <c r="B31" s="1128">
        <v>276</v>
      </c>
    </row>
    <row r="32" spans="1:2" ht="12.75">
      <c r="A32" s="12" t="s">
        <v>1217</v>
      </c>
      <c r="B32" s="1131">
        <f>SUM(B26:B31)</f>
        <v>69588</v>
      </c>
    </row>
    <row r="33" spans="1:2" ht="12.75">
      <c r="A33" s="15"/>
      <c r="B33" s="1128"/>
    </row>
    <row r="34" spans="1:2" ht="12.75">
      <c r="A34" s="12" t="s">
        <v>1218</v>
      </c>
      <c r="B34" s="1128"/>
    </row>
    <row r="35" spans="1:2" ht="12.75">
      <c r="A35" s="15" t="s">
        <v>1211</v>
      </c>
      <c r="B35" s="1128">
        <v>993</v>
      </c>
    </row>
    <row r="36" spans="1:2" ht="12.75">
      <c r="A36" s="15" t="s">
        <v>1212</v>
      </c>
      <c r="B36" s="1128">
        <v>11700</v>
      </c>
    </row>
    <row r="37" spans="1:2" ht="12.75">
      <c r="A37" s="15" t="s">
        <v>1213</v>
      </c>
      <c r="B37" s="1128">
        <v>808</v>
      </c>
    </row>
    <row r="38" spans="1:2" ht="12.75">
      <c r="A38" s="15" t="s">
        <v>1214</v>
      </c>
      <c r="B38" s="1128">
        <v>13449</v>
      </c>
    </row>
    <row r="39" spans="1:2" ht="12.75">
      <c r="A39" s="15" t="s">
        <v>1219</v>
      </c>
      <c r="B39" s="1128">
        <v>15160</v>
      </c>
    </row>
    <row r="40" spans="1:2" ht="12.75">
      <c r="A40" s="12" t="s">
        <v>1220</v>
      </c>
      <c r="B40" s="1131">
        <f>SUM(B35:B39)</f>
        <v>42110</v>
      </c>
    </row>
    <row r="41" spans="1:2" ht="12.75">
      <c r="A41" s="15"/>
      <c r="B41" s="1128"/>
    </row>
    <row r="42" spans="1:2" ht="12.75">
      <c r="A42" s="1134" t="s">
        <v>1221</v>
      </c>
      <c r="B42" s="1135">
        <f>SUM(B14+B19+B23+B32+B40)</f>
        <v>147950</v>
      </c>
    </row>
    <row r="43" spans="1:2" ht="12.75">
      <c r="A43" s="15"/>
      <c r="B43" s="1128"/>
    </row>
    <row r="44" spans="1:2" ht="12.75">
      <c r="A44" s="12" t="s">
        <v>1222</v>
      </c>
      <c r="B44" s="1131"/>
    </row>
    <row r="45" spans="1:2" ht="12.75">
      <c r="A45" s="15" t="s">
        <v>1224</v>
      </c>
      <c r="B45" s="1143">
        <v>158</v>
      </c>
    </row>
    <row r="46" spans="1:2" ht="12.75">
      <c r="A46" s="1134"/>
      <c r="B46" s="1136"/>
    </row>
    <row r="47" spans="1:2" ht="12.75">
      <c r="A47" s="1134" t="s">
        <v>1227</v>
      </c>
      <c r="B47" s="1135"/>
    </row>
    <row r="48" spans="1:2" ht="12.75">
      <c r="A48" s="1141" t="s">
        <v>1225</v>
      </c>
      <c r="B48" s="1144">
        <v>16</v>
      </c>
    </row>
    <row r="49" spans="1:2" ht="12.75">
      <c r="A49" s="1134"/>
      <c r="B49" s="1135"/>
    </row>
    <row r="50" spans="1:2" ht="12.75">
      <c r="A50" s="12" t="s">
        <v>1226</v>
      </c>
      <c r="B50" s="1131">
        <v>257</v>
      </c>
    </row>
    <row r="51" spans="1:2" ht="12.75">
      <c r="A51" s="1141" t="s">
        <v>1228</v>
      </c>
      <c r="B51" s="1135"/>
    </row>
    <row r="52" spans="1:2" ht="12.75">
      <c r="A52" s="1134" t="s">
        <v>1239</v>
      </c>
      <c r="B52" s="1135">
        <v>1500</v>
      </c>
    </row>
    <row r="53" spans="1:2" ht="12.75">
      <c r="A53" s="1134"/>
      <c r="B53" s="1135"/>
    </row>
    <row r="54" spans="1:2" ht="12.75">
      <c r="A54" s="1134" t="s">
        <v>1229</v>
      </c>
      <c r="B54" s="1135">
        <f>SUM(B55:B62)</f>
        <v>12838</v>
      </c>
    </row>
    <row r="55" spans="1:2" s="1145" customFormat="1" ht="12.75">
      <c r="A55" s="1141" t="s">
        <v>1230</v>
      </c>
      <c r="B55" s="1142">
        <v>858</v>
      </c>
    </row>
    <row r="56" spans="1:2" s="1145" customFormat="1" ht="12.75">
      <c r="A56" s="1141" t="s">
        <v>1231</v>
      </c>
      <c r="B56" s="1142">
        <v>457</v>
      </c>
    </row>
    <row r="57" spans="1:2" s="1145" customFormat="1" ht="12.75">
      <c r="A57" s="1141" t="s">
        <v>1232</v>
      </c>
      <c r="B57" s="1142">
        <v>2024</v>
      </c>
    </row>
    <row r="58" spans="1:2" s="1145" customFormat="1" ht="12.75">
      <c r="A58" s="1141" t="s">
        <v>1233</v>
      </c>
      <c r="B58" s="1142">
        <v>3757</v>
      </c>
    </row>
    <row r="59" spans="1:2" s="1145" customFormat="1" ht="12.75">
      <c r="A59" s="1141" t="s">
        <v>1234</v>
      </c>
      <c r="B59" s="1142">
        <v>1093</v>
      </c>
    </row>
    <row r="60" spans="1:2" s="1145" customFormat="1" ht="12.75">
      <c r="A60" s="1141" t="s">
        <v>1235</v>
      </c>
      <c r="B60" s="1142">
        <v>3584</v>
      </c>
    </row>
    <row r="61" spans="1:2" s="1145" customFormat="1" ht="12.75">
      <c r="A61" s="1141" t="s">
        <v>1236</v>
      </c>
      <c r="B61" s="1142">
        <v>165</v>
      </c>
    </row>
    <row r="62" spans="1:2" s="1145" customFormat="1" ht="12.75">
      <c r="A62" s="1141" t="s">
        <v>1237</v>
      </c>
      <c r="B62" s="1142">
        <v>900</v>
      </c>
    </row>
    <row r="63" spans="1:2" s="1145" customFormat="1" ht="12.75">
      <c r="A63" s="1141"/>
      <c r="B63" s="1142"/>
    </row>
    <row r="64" spans="1:2" ht="13.5" thickBot="1">
      <c r="A64" s="1137" t="s">
        <v>1223</v>
      </c>
      <c r="B64" s="1138">
        <f>SUM(B42+B45+B48+B50+B52+B54)</f>
        <v>162719</v>
      </c>
    </row>
    <row r="70" spans="1:2" ht="12.75">
      <c r="A70" s="1139"/>
      <c r="B70" s="1140"/>
    </row>
    <row r="71" spans="1:2" ht="12.75">
      <c r="A71" s="1139"/>
      <c r="B71" s="1099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89" r:id="rId1"/>
  <headerFooter>
    <oddHeader>&amp;L14. melléklet a 8/2014.(V.5.)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6"/>
  <sheetViews>
    <sheetView view="pageLayout" workbookViewId="0" topLeftCell="A1">
      <selection activeCell="A3" sqref="A3:A4"/>
    </sheetView>
  </sheetViews>
  <sheetFormatPr defaultColWidth="9.00390625" defaultRowHeight="12.75"/>
  <cols>
    <col min="1" max="1" width="64.375" style="820" customWidth="1"/>
    <col min="2" max="2" width="34.625" style="819" bestFit="1" customWidth="1"/>
    <col min="3" max="3" width="13.125" style="821" customWidth="1"/>
    <col min="4" max="4" width="17.875" style="822" customWidth="1"/>
    <col min="5" max="6" width="13.75390625" style="823" customWidth="1"/>
    <col min="7" max="8" width="14.875" style="823" customWidth="1"/>
    <col min="9" max="10" width="14.00390625" style="823" customWidth="1"/>
    <col min="11" max="12" width="14.625" style="824" customWidth="1"/>
    <col min="13" max="16384" width="9.125" style="819" customWidth="1"/>
  </cols>
  <sheetData>
    <row r="1" spans="1:12" ht="15.75">
      <c r="A1" s="1490" t="s">
        <v>896</v>
      </c>
      <c r="B1" s="1490"/>
      <c r="C1" s="1490"/>
      <c r="D1" s="1490"/>
      <c r="E1" s="1490"/>
      <c r="F1" s="1490"/>
      <c r="G1" s="1490"/>
      <c r="H1" s="1490"/>
      <c r="I1" s="1490"/>
      <c r="J1" s="1490"/>
      <c r="K1" s="1490"/>
      <c r="L1" s="819"/>
    </row>
    <row r="2" ht="30.75" customHeight="1" thickBot="1"/>
    <row r="3" spans="1:12" ht="15.75">
      <c r="A3" s="1491" t="s">
        <v>897</v>
      </c>
      <c r="B3" s="1493" t="s">
        <v>898</v>
      </c>
      <c r="C3" s="1495" t="s">
        <v>899</v>
      </c>
      <c r="D3" s="1495" t="s">
        <v>900</v>
      </c>
      <c r="E3" s="1497" t="s">
        <v>901</v>
      </c>
      <c r="F3" s="1498"/>
      <c r="G3" s="1498"/>
      <c r="H3" s="1498"/>
      <c r="I3" s="1498"/>
      <c r="J3" s="1499"/>
      <c r="K3" s="1487" t="s">
        <v>179</v>
      </c>
      <c r="L3" s="1487" t="s">
        <v>902</v>
      </c>
    </row>
    <row r="4" spans="1:12" ht="79.5" thickBot="1">
      <c r="A4" s="1492"/>
      <c r="B4" s="1494"/>
      <c r="C4" s="1496"/>
      <c r="D4" s="1496"/>
      <c r="E4" s="825" t="s">
        <v>903</v>
      </c>
      <c r="F4" s="825" t="s">
        <v>904</v>
      </c>
      <c r="G4" s="825" t="s">
        <v>905</v>
      </c>
      <c r="H4" s="825" t="s">
        <v>906</v>
      </c>
      <c r="I4" s="825" t="s">
        <v>907</v>
      </c>
      <c r="J4" s="826" t="s">
        <v>908</v>
      </c>
      <c r="K4" s="1488"/>
      <c r="L4" s="1488"/>
    </row>
    <row r="5" spans="1:12" ht="23.25" customHeight="1">
      <c r="A5" s="827" t="s">
        <v>909</v>
      </c>
      <c r="B5" s="828" t="s">
        <v>910</v>
      </c>
      <c r="C5" s="829">
        <v>40148</v>
      </c>
      <c r="D5" s="830">
        <v>41974</v>
      </c>
      <c r="E5" s="831">
        <f aca="true" t="shared" si="0" ref="E5:E23">K5-G5-I5</f>
        <v>156212</v>
      </c>
      <c r="F5" s="831">
        <v>9</v>
      </c>
      <c r="G5" s="831">
        <f>1010+90397</f>
        <v>91407</v>
      </c>
      <c r="H5" s="831">
        <v>1010</v>
      </c>
      <c r="I5" s="831">
        <v>430559</v>
      </c>
      <c r="J5" s="832">
        <v>14374</v>
      </c>
      <c r="K5" s="833">
        <f>87247+590931</f>
        <v>678178</v>
      </c>
      <c r="L5" s="833">
        <v>123</v>
      </c>
    </row>
    <row r="6" spans="1:12" s="841" customFormat="1" ht="47.25">
      <c r="A6" s="834" t="s">
        <v>911</v>
      </c>
      <c r="B6" s="835" t="s">
        <v>912</v>
      </c>
      <c r="C6" s="836">
        <v>40935</v>
      </c>
      <c r="D6" s="837">
        <v>41882</v>
      </c>
      <c r="E6" s="838">
        <f t="shared" si="0"/>
        <v>59800</v>
      </c>
      <c r="F6" s="838">
        <v>52231</v>
      </c>
      <c r="G6" s="838">
        <f>408+48445</f>
        <v>48853</v>
      </c>
      <c r="H6" s="838">
        <v>408</v>
      </c>
      <c r="I6" s="838">
        <v>317135</v>
      </c>
      <c r="J6" s="839">
        <v>2642</v>
      </c>
      <c r="K6" s="840">
        <f>5668+420120</f>
        <v>425788</v>
      </c>
      <c r="L6" s="840">
        <v>57855</v>
      </c>
    </row>
    <row r="7" spans="1:12" ht="33" customHeight="1">
      <c r="A7" s="842" t="s">
        <v>913</v>
      </c>
      <c r="B7" s="843" t="s">
        <v>914</v>
      </c>
      <c r="C7" s="844">
        <v>41352</v>
      </c>
      <c r="D7" s="845">
        <v>41973</v>
      </c>
      <c r="E7" s="846">
        <f t="shared" si="0"/>
        <v>0</v>
      </c>
      <c r="F7" s="846"/>
      <c r="G7" s="846"/>
      <c r="H7" s="846"/>
      <c r="I7" s="846">
        <v>185000</v>
      </c>
      <c r="J7" s="847">
        <v>0</v>
      </c>
      <c r="K7" s="848">
        <v>185000</v>
      </c>
      <c r="L7" s="848">
        <v>0</v>
      </c>
    </row>
    <row r="8" spans="1:12" ht="24.75" customHeight="1">
      <c r="A8" s="842" t="s">
        <v>915</v>
      </c>
      <c r="B8" s="843" t="s">
        <v>916</v>
      </c>
      <c r="C8" s="844">
        <v>41067</v>
      </c>
      <c r="D8" s="845">
        <v>41796</v>
      </c>
      <c r="E8" s="846">
        <f t="shared" si="0"/>
        <v>504630</v>
      </c>
      <c r="F8" s="846"/>
      <c r="G8" s="846">
        <v>3328</v>
      </c>
      <c r="H8" s="846">
        <v>3328</v>
      </c>
      <c r="I8" s="846">
        <f>19185+622234</f>
        <v>641419</v>
      </c>
      <c r="J8" s="847">
        <v>19186</v>
      </c>
      <c r="K8" s="848">
        <f>46737+1102640</f>
        <v>1149377</v>
      </c>
      <c r="L8" s="848">
        <v>0</v>
      </c>
    </row>
    <row r="9" spans="1:12" ht="31.5">
      <c r="A9" s="842" t="s">
        <v>917</v>
      </c>
      <c r="B9" s="843" t="s">
        <v>918</v>
      </c>
      <c r="C9" s="844">
        <v>41152</v>
      </c>
      <c r="D9" s="845">
        <v>41759</v>
      </c>
      <c r="E9" s="846">
        <f t="shared" si="0"/>
        <v>4106</v>
      </c>
      <c r="F9" s="846"/>
      <c r="G9" s="846"/>
      <c r="H9" s="846"/>
      <c r="I9" s="846">
        <v>13069</v>
      </c>
      <c r="J9" s="847">
        <v>8533</v>
      </c>
      <c r="K9" s="848">
        <f>15375+1800</f>
        <v>17175</v>
      </c>
      <c r="L9" s="848">
        <v>5341</v>
      </c>
    </row>
    <row r="10" spans="1:12" ht="23.25" customHeight="1">
      <c r="A10" s="842" t="s">
        <v>919</v>
      </c>
      <c r="B10" s="843" t="s">
        <v>920</v>
      </c>
      <c r="C10" s="844">
        <v>41682</v>
      </c>
      <c r="D10" s="845">
        <v>42155</v>
      </c>
      <c r="E10" s="846">
        <f t="shared" si="0"/>
        <v>0</v>
      </c>
      <c r="F10" s="846"/>
      <c r="G10" s="846"/>
      <c r="H10" s="846"/>
      <c r="I10" s="846">
        <v>275492</v>
      </c>
      <c r="J10" s="847"/>
      <c r="K10" s="848">
        <v>275492</v>
      </c>
      <c r="L10" s="848">
        <v>0</v>
      </c>
    </row>
    <row r="11" spans="1:12" ht="31.5">
      <c r="A11" s="842" t="s">
        <v>921</v>
      </c>
      <c r="B11" s="843" t="s">
        <v>922</v>
      </c>
      <c r="C11" s="844">
        <v>40730</v>
      </c>
      <c r="D11" s="845">
        <v>41639</v>
      </c>
      <c r="E11" s="846">
        <f t="shared" si="0"/>
        <v>34966</v>
      </c>
      <c r="F11" s="846">
        <v>2518</v>
      </c>
      <c r="G11" s="846"/>
      <c r="H11" s="846"/>
      <c r="I11" s="846">
        <v>444520</v>
      </c>
      <c r="J11" s="847">
        <v>301657</v>
      </c>
      <c r="K11" s="848">
        <v>479486</v>
      </c>
      <c r="L11" s="848">
        <v>387365</v>
      </c>
    </row>
    <row r="12" spans="1:12" ht="31.5">
      <c r="A12" s="842" t="s">
        <v>923</v>
      </c>
      <c r="B12" s="843" t="s">
        <v>924</v>
      </c>
      <c r="C12" s="844">
        <v>41473</v>
      </c>
      <c r="D12" s="845">
        <v>42151</v>
      </c>
      <c r="E12" s="846">
        <f t="shared" si="0"/>
        <v>0</v>
      </c>
      <c r="F12" s="846"/>
      <c r="G12" s="846"/>
      <c r="H12" s="846"/>
      <c r="I12" s="846">
        <v>46350</v>
      </c>
      <c r="J12" s="847">
        <v>13338</v>
      </c>
      <c r="K12" s="848">
        <v>46350</v>
      </c>
      <c r="L12" s="848">
        <v>2614</v>
      </c>
    </row>
    <row r="13" spans="1:12" ht="23.25" customHeight="1">
      <c r="A13" s="842" t="s">
        <v>925</v>
      </c>
      <c r="B13" s="843" t="s">
        <v>926</v>
      </c>
      <c r="C13" s="844">
        <v>41340</v>
      </c>
      <c r="D13" s="845">
        <v>41733</v>
      </c>
      <c r="E13" s="846">
        <f t="shared" si="0"/>
        <v>0</v>
      </c>
      <c r="F13" s="846"/>
      <c r="G13" s="846"/>
      <c r="H13" s="846"/>
      <c r="I13" s="846">
        <v>90625</v>
      </c>
      <c r="J13" s="847"/>
      <c r="K13" s="848">
        <v>90625</v>
      </c>
      <c r="L13" s="848">
        <v>0</v>
      </c>
    </row>
    <row r="14" spans="1:12" ht="24" customHeight="1">
      <c r="A14" s="842" t="s">
        <v>927</v>
      </c>
      <c r="B14" s="843" t="s">
        <v>928</v>
      </c>
      <c r="C14" s="844">
        <v>41671</v>
      </c>
      <c r="D14" s="845">
        <v>41851</v>
      </c>
      <c r="E14" s="846">
        <f t="shared" si="0"/>
        <v>25141</v>
      </c>
      <c r="F14" s="846"/>
      <c r="G14" s="846"/>
      <c r="H14" s="846"/>
      <c r="I14" s="846">
        <v>143859</v>
      </c>
      <c r="J14" s="847"/>
      <c r="K14" s="848">
        <v>169000</v>
      </c>
      <c r="L14" s="848">
        <v>0</v>
      </c>
    </row>
    <row r="15" spans="1:12" ht="23.25" customHeight="1">
      <c r="A15" s="842" t="s">
        <v>929</v>
      </c>
      <c r="B15" s="843" t="s">
        <v>930</v>
      </c>
      <c r="C15" s="844">
        <v>41596</v>
      </c>
      <c r="D15" s="845">
        <v>42004</v>
      </c>
      <c r="E15" s="846">
        <f t="shared" si="0"/>
        <v>0</v>
      </c>
      <c r="F15" s="846"/>
      <c r="G15" s="846"/>
      <c r="H15" s="846"/>
      <c r="I15" s="846">
        <v>39992</v>
      </c>
      <c r="J15" s="847">
        <v>9998</v>
      </c>
      <c r="K15" s="848">
        <v>39992</v>
      </c>
      <c r="L15" s="848">
        <v>0</v>
      </c>
    </row>
    <row r="16" spans="1:12" ht="24.75" customHeight="1">
      <c r="A16" s="842" t="s">
        <v>931</v>
      </c>
      <c r="B16" s="843" t="s">
        <v>932</v>
      </c>
      <c r="C16" s="844">
        <v>41670</v>
      </c>
      <c r="D16" s="845">
        <v>41943</v>
      </c>
      <c r="E16" s="846">
        <f t="shared" si="0"/>
        <v>0</v>
      </c>
      <c r="F16" s="846"/>
      <c r="G16" s="846"/>
      <c r="H16" s="846"/>
      <c r="I16" s="846">
        <v>16000</v>
      </c>
      <c r="J16" s="847"/>
      <c r="K16" s="848">
        <v>16000</v>
      </c>
      <c r="L16" s="848">
        <v>0</v>
      </c>
    </row>
    <row r="17" spans="1:12" ht="23.25" customHeight="1">
      <c r="A17" s="842" t="s">
        <v>933</v>
      </c>
      <c r="B17" s="843" t="s">
        <v>934</v>
      </c>
      <c r="C17" s="844">
        <v>41703</v>
      </c>
      <c r="D17" s="845">
        <v>42155</v>
      </c>
      <c r="E17" s="846">
        <f t="shared" si="0"/>
        <v>2077</v>
      </c>
      <c r="F17" s="846">
        <v>2077</v>
      </c>
      <c r="G17" s="846"/>
      <c r="H17" s="846"/>
      <c r="I17" s="846">
        <v>243906</v>
      </c>
      <c r="J17" s="847"/>
      <c r="K17" s="848">
        <v>245983</v>
      </c>
      <c r="L17" s="848">
        <v>13843</v>
      </c>
    </row>
    <row r="18" spans="1:12" ht="23.25" customHeight="1">
      <c r="A18" s="842" t="s">
        <v>935</v>
      </c>
      <c r="B18" s="843" t="s">
        <v>936</v>
      </c>
      <c r="C18" s="849" t="s">
        <v>937</v>
      </c>
      <c r="D18" s="850" t="s">
        <v>938</v>
      </c>
      <c r="E18" s="846">
        <f t="shared" si="0"/>
        <v>0</v>
      </c>
      <c r="F18" s="846"/>
      <c r="G18" s="846"/>
      <c r="H18" s="846"/>
      <c r="I18" s="846">
        <v>52290</v>
      </c>
      <c r="J18" s="847"/>
      <c r="K18" s="848">
        <v>52290</v>
      </c>
      <c r="L18" s="848">
        <v>0</v>
      </c>
    </row>
    <row r="19" spans="1:12" ht="31.5">
      <c r="A19" s="842" t="s">
        <v>939</v>
      </c>
      <c r="B19" s="843" t="s">
        <v>940</v>
      </c>
      <c r="C19" s="849" t="s">
        <v>941</v>
      </c>
      <c r="D19" s="850" t="s">
        <v>938</v>
      </c>
      <c r="E19" s="846">
        <f t="shared" si="0"/>
        <v>0</v>
      </c>
      <c r="F19" s="846"/>
      <c r="G19" s="846"/>
      <c r="H19" s="846"/>
      <c r="I19" s="846">
        <v>15000</v>
      </c>
      <c r="J19" s="847"/>
      <c r="K19" s="848">
        <v>15000</v>
      </c>
      <c r="L19" s="848">
        <v>0</v>
      </c>
    </row>
    <row r="20" spans="1:12" ht="31.5">
      <c r="A20" s="842" t="s">
        <v>942</v>
      </c>
      <c r="B20" s="843" t="s">
        <v>943</v>
      </c>
      <c r="C20" s="849" t="s">
        <v>937</v>
      </c>
      <c r="D20" s="850" t="s">
        <v>938</v>
      </c>
      <c r="E20" s="846">
        <f t="shared" si="0"/>
        <v>0</v>
      </c>
      <c r="F20" s="846"/>
      <c r="G20" s="846"/>
      <c r="H20" s="846"/>
      <c r="I20" s="846">
        <v>44957</v>
      </c>
      <c r="J20" s="847"/>
      <c r="K20" s="848">
        <v>44957</v>
      </c>
      <c r="L20" s="848">
        <v>0</v>
      </c>
    </row>
    <row r="21" spans="1:12" ht="31.5">
      <c r="A21" s="842" t="s">
        <v>279</v>
      </c>
      <c r="B21" s="843" t="s">
        <v>944</v>
      </c>
      <c r="C21" s="849" t="s">
        <v>937</v>
      </c>
      <c r="D21" s="850"/>
      <c r="E21" s="846">
        <f t="shared" si="0"/>
        <v>6544</v>
      </c>
      <c r="F21" s="846"/>
      <c r="G21" s="846"/>
      <c r="H21" s="846"/>
      <c r="I21" s="846">
        <v>58889</v>
      </c>
      <c r="J21" s="847"/>
      <c r="K21" s="848">
        <v>65433</v>
      </c>
      <c r="L21" s="848">
        <v>0</v>
      </c>
    </row>
    <row r="22" spans="1:12" ht="23.25" customHeight="1">
      <c r="A22" s="842" t="s">
        <v>945</v>
      </c>
      <c r="B22" s="843" t="s">
        <v>946</v>
      </c>
      <c r="C22" s="844">
        <v>41191</v>
      </c>
      <c r="D22" s="845">
        <v>41790</v>
      </c>
      <c r="E22" s="846">
        <f t="shared" si="0"/>
        <v>0</v>
      </c>
      <c r="F22" s="846"/>
      <c r="G22" s="846"/>
      <c r="H22" s="846"/>
      <c r="I22" s="846">
        <v>21760</v>
      </c>
      <c r="J22" s="847"/>
      <c r="K22" s="848">
        <v>21760</v>
      </c>
      <c r="L22" s="848">
        <v>6586</v>
      </c>
    </row>
    <row r="23" spans="1:12" ht="23.25" customHeight="1" thickBot="1">
      <c r="A23" s="851" t="s">
        <v>947</v>
      </c>
      <c r="B23" s="852" t="s">
        <v>948</v>
      </c>
      <c r="C23" s="853">
        <v>41153</v>
      </c>
      <c r="D23" s="854">
        <v>41698</v>
      </c>
      <c r="E23" s="855">
        <f t="shared" si="0"/>
        <v>0</v>
      </c>
      <c r="F23" s="855"/>
      <c r="G23" s="855"/>
      <c r="H23" s="855"/>
      <c r="I23" s="855">
        <v>1874</v>
      </c>
      <c r="J23" s="856"/>
      <c r="K23" s="857">
        <v>1874</v>
      </c>
      <c r="L23" s="857">
        <v>469</v>
      </c>
    </row>
    <row r="24" spans="1:12" s="865" customFormat="1" ht="24.75" customHeight="1" thickBot="1">
      <c r="A24" s="858" t="s">
        <v>141</v>
      </c>
      <c r="B24" s="859"/>
      <c r="C24" s="860"/>
      <c r="D24" s="861"/>
      <c r="E24" s="862">
        <f>SUM(E5:E23)</f>
        <v>793476</v>
      </c>
      <c r="F24" s="862"/>
      <c r="G24" s="862">
        <f>SUM(G5:G23)</f>
        <v>143588</v>
      </c>
      <c r="H24" s="862"/>
      <c r="I24" s="862">
        <f>SUM(I5:I23)</f>
        <v>3082696</v>
      </c>
      <c r="J24" s="863"/>
      <c r="K24" s="864">
        <f>SUM(K5:K23)</f>
        <v>4019760</v>
      </c>
      <c r="L24" s="864"/>
    </row>
    <row r="26" spans="1:3" ht="15.75">
      <c r="A26" s="1489" t="s">
        <v>949</v>
      </c>
      <c r="B26" s="1489"/>
      <c r="C26" s="1489"/>
    </row>
  </sheetData>
  <sheetProtection/>
  <mergeCells count="9">
    <mergeCell ref="L3:L4"/>
    <mergeCell ref="A26:C26"/>
    <mergeCell ref="A1:K1"/>
    <mergeCell ref="A3:A4"/>
    <mergeCell ref="B3:B4"/>
    <mergeCell ref="C3:C4"/>
    <mergeCell ref="D3:D4"/>
    <mergeCell ref="E3:J3"/>
    <mergeCell ref="K3:K4"/>
  </mergeCells>
  <printOptions/>
  <pageMargins left="0.7" right="0.7" top="0.75" bottom="0.75" header="0.3" footer="0.3"/>
  <pageSetup horizontalDpi="600" verticalDpi="600" orientation="landscape" paperSize="9" scale="53" r:id="rId1"/>
  <headerFooter>
    <oddHeader>&amp;L15. melléklet a 8/2014.(V.5.) önkormányzati rendelethez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5"/>
  <sheetViews>
    <sheetView view="pageLayout" workbookViewId="0" topLeftCell="A1">
      <selection activeCell="K26" sqref="A17:K26"/>
    </sheetView>
  </sheetViews>
  <sheetFormatPr defaultColWidth="9.00390625" defaultRowHeight="12.75"/>
  <cols>
    <col min="1" max="1" width="52.625" style="1221" customWidth="1"/>
    <col min="2" max="2" width="14.375" style="1221" customWidth="1"/>
    <col min="3" max="4" width="11.75390625" style="1221" customWidth="1"/>
    <col min="5" max="5" width="11.00390625" style="1221" customWidth="1"/>
    <col min="6" max="6" width="11.75390625" style="1221" customWidth="1"/>
    <col min="7" max="7" width="14.00390625" style="1221" customWidth="1"/>
    <col min="8" max="8" width="17.00390625" style="1221" customWidth="1"/>
    <col min="9" max="9" width="10.75390625" style="1221" customWidth="1"/>
    <col min="10" max="10" width="11.25390625" style="1221" customWidth="1"/>
    <col min="11" max="11" width="11.375" style="1221" customWidth="1"/>
    <col min="12" max="16384" width="9.125" style="1221" customWidth="1"/>
  </cols>
  <sheetData>
    <row r="1" spans="1:11" ht="15">
      <c r="A1" s="1511" t="s">
        <v>1193</v>
      </c>
      <c r="B1" s="1503"/>
      <c r="C1" s="1503"/>
      <c r="D1" s="1503"/>
      <c r="E1" s="1503"/>
      <c r="F1" s="1503"/>
      <c r="G1" s="1503"/>
      <c r="H1" s="1503"/>
      <c r="I1" s="1503"/>
      <c r="J1" s="1503"/>
      <c r="K1" s="1503"/>
    </row>
    <row r="3" spans="1:9" ht="14.25" customHeight="1">
      <c r="A3" s="1514" t="s">
        <v>1165</v>
      </c>
      <c r="B3" s="1514"/>
      <c r="C3" s="1514"/>
      <c r="D3" s="1514"/>
      <c r="E3" s="1514"/>
      <c r="F3" s="1514"/>
      <c r="G3" s="1514"/>
      <c r="H3" s="1514"/>
      <c r="I3" s="1514"/>
    </row>
    <row r="4" spans="1:6" ht="15.75" thickBot="1">
      <c r="A4" s="1222"/>
      <c r="B4" s="1223"/>
      <c r="C4" s="1223"/>
      <c r="D4" s="1223"/>
      <c r="E4" s="1223"/>
      <c r="F4" s="1223"/>
    </row>
    <row r="5" spans="1:9" ht="13.5" customHeight="1" thickBot="1">
      <c r="A5" s="1515" t="s">
        <v>216</v>
      </c>
      <c r="B5" s="1517" t="s">
        <v>964</v>
      </c>
      <c r="C5" s="1517"/>
      <c r="D5" s="1517"/>
      <c r="E5" s="1517"/>
      <c r="F5" s="1517"/>
      <c r="G5" s="1517"/>
      <c r="H5" s="1518" t="s">
        <v>965</v>
      </c>
      <c r="I5" s="1520" t="s">
        <v>872</v>
      </c>
    </row>
    <row r="6" spans="1:9" ht="43.5" thickTop="1">
      <c r="A6" s="1516"/>
      <c r="B6" s="1224" t="s">
        <v>966</v>
      </c>
      <c r="C6" s="1224" t="s">
        <v>967</v>
      </c>
      <c r="D6" s="1224" t="s">
        <v>968</v>
      </c>
      <c r="E6" s="1224" t="s">
        <v>969</v>
      </c>
      <c r="F6" s="1224" t="s">
        <v>970</v>
      </c>
      <c r="G6" s="1225" t="s">
        <v>971</v>
      </c>
      <c r="H6" s="1519"/>
      <c r="I6" s="1521"/>
    </row>
    <row r="7" spans="1:9" ht="15">
      <c r="A7" s="1226" t="s">
        <v>972</v>
      </c>
      <c r="B7" s="1227">
        <v>2536077</v>
      </c>
      <c r="C7" s="1227">
        <v>0</v>
      </c>
      <c r="D7" s="1227">
        <v>0</v>
      </c>
      <c r="E7" s="1227">
        <v>0</v>
      </c>
      <c r="F7" s="1227">
        <v>0</v>
      </c>
      <c r="G7" s="1227">
        <v>0</v>
      </c>
      <c r="H7" s="1228">
        <f>SUM(C7:G7)</f>
        <v>0</v>
      </c>
      <c r="I7" s="1229">
        <f aca="true" t="shared" si="0" ref="I7:I13">B7+H7</f>
        <v>2536077</v>
      </c>
    </row>
    <row r="8" spans="1:9" ht="15">
      <c r="A8" s="1226" t="s">
        <v>973</v>
      </c>
      <c r="B8" s="1227">
        <v>2536077</v>
      </c>
      <c r="C8" s="1227">
        <v>0</v>
      </c>
      <c r="D8" s="1227">
        <v>0</v>
      </c>
      <c r="E8" s="1227">
        <v>0</v>
      </c>
      <c r="F8" s="1227">
        <v>0</v>
      </c>
      <c r="G8" s="1227">
        <v>0</v>
      </c>
      <c r="H8" s="1228">
        <f>SUM(C8:G8)</f>
        <v>0</v>
      </c>
      <c r="I8" s="1229">
        <f t="shared" si="0"/>
        <v>2536077</v>
      </c>
    </row>
    <row r="9" spans="1:9" ht="15">
      <c r="A9" s="1226" t="s">
        <v>974</v>
      </c>
      <c r="B9" s="1227">
        <v>44961</v>
      </c>
      <c r="C9" s="1227">
        <v>0</v>
      </c>
      <c r="D9" s="1227">
        <v>0</v>
      </c>
      <c r="E9" s="1227">
        <v>0</v>
      </c>
      <c r="F9" s="1227">
        <v>0</v>
      </c>
      <c r="G9" s="1227">
        <v>0</v>
      </c>
      <c r="H9" s="1228">
        <f>SUM(C9:G9)</f>
        <v>0</v>
      </c>
      <c r="I9" s="1229">
        <f t="shared" si="0"/>
        <v>44961</v>
      </c>
    </row>
    <row r="10" spans="1:9" ht="15">
      <c r="A10" s="1226" t="s">
        <v>975</v>
      </c>
      <c r="B10" s="1227">
        <v>44961</v>
      </c>
      <c r="C10" s="1227">
        <v>0</v>
      </c>
      <c r="D10" s="1227">
        <v>0</v>
      </c>
      <c r="E10" s="1227">
        <v>0</v>
      </c>
      <c r="F10" s="1227">
        <v>0</v>
      </c>
      <c r="G10" s="1227">
        <v>0</v>
      </c>
      <c r="H10" s="1228">
        <f>SUM(C10:G10)</f>
        <v>0</v>
      </c>
      <c r="I10" s="1229">
        <f t="shared" si="0"/>
        <v>44961</v>
      </c>
    </row>
    <row r="11" spans="1:9" ht="15">
      <c r="A11" s="1226" t="s">
        <v>976</v>
      </c>
      <c r="B11" s="1227">
        <v>0</v>
      </c>
      <c r="C11" s="1227">
        <v>46797</v>
      </c>
      <c r="D11" s="1227">
        <v>0</v>
      </c>
      <c r="E11" s="1227">
        <v>0</v>
      </c>
      <c r="F11" s="1227">
        <v>0</v>
      </c>
      <c r="G11" s="1227">
        <v>0</v>
      </c>
      <c r="H11" s="1228">
        <f>SUM(C11:G11)</f>
        <v>46797</v>
      </c>
      <c r="I11" s="1229">
        <f t="shared" si="0"/>
        <v>46797</v>
      </c>
    </row>
    <row r="12" spans="1:9" ht="29.25">
      <c r="A12" s="1230" t="s">
        <v>977</v>
      </c>
      <c r="B12" s="1228">
        <f aca="true" t="shared" si="1" ref="B12:H12">B11</f>
        <v>0</v>
      </c>
      <c r="C12" s="1228">
        <f t="shared" si="1"/>
        <v>46797</v>
      </c>
      <c r="D12" s="1228">
        <f t="shared" si="1"/>
        <v>0</v>
      </c>
      <c r="E12" s="1228">
        <f t="shared" si="1"/>
        <v>0</v>
      </c>
      <c r="F12" s="1228">
        <f t="shared" si="1"/>
        <v>0</v>
      </c>
      <c r="G12" s="1228">
        <f t="shared" si="1"/>
        <v>0</v>
      </c>
      <c r="H12" s="1228">
        <f t="shared" si="1"/>
        <v>46797</v>
      </c>
      <c r="I12" s="1229">
        <f t="shared" si="0"/>
        <v>46797</v>
      </c>
    </row>
    <row r="13" spans="1:9" ht="29.25">
      <c r="A13" s="1230" t="s">
        <v>978</v>
      </c>
      <c r="B13" s="1228">
        <f>B7+B9</f>
        <v>2581038</v>
      </c>
      <c r="C13" s="1228">
        <f aca="true" t="shared" si="2" ref="C13:H13">C7+C9</f>
        <v>0</v>
      </c>
      <c r="D13" s="1228">
        <f t="shared" si="2"/>
        <v>0</v>
      </c>
      <c r="E13" s="1228">
        <f t="shared" si="2"/>
        <v>0</v>
      </c>
      <c r="F13" s="1228">
        <f t="shared" si="2"/>
        <v>0</v>
      </c>
      <c r="G13" s="1228">
        <f t="shared" si="2"/>
        <v>0</v>
      </c>
      <c r="H13" s="1228">
        <f t="shared" si="2"/>
        <v>0</v>
      </c>
      <c r="I13" s="1229">
        <f t="shared" si="0"/>
        <v>2581038</v>
      </c>
    </row>
    <row r="14" spans="1:9" ht="27.75" customHeight="1" thickBot="1">
      <c r="A14" s="1231" t="s">
        <v>449</v>
      </c>
      <c r="B14" s="1232">
        <f>SUM(B12:B13)</f>
        <v>2581038</v>
      </c>
      <c r="C14" s="1232">
        <f aca="true" t="shared" si="3" ref="C14:I14">SUM(C12:C13)</f>
        <v>46797</v>
      </c>
      <c r="D14" s="1232">
        <f t="shared" si="3"/>
        <v>0</v>
      </c>
      <c r="E14" s="1232">
        <f t="shared" si="3"/>
        <v>0</v>
      </c>
      <c r="F14" s="1232">
        <f t="shared" si="3"/>
        <v>0</v>
      </c>
      <c r="G14" s="1232">
        <f t="shared" si="3"/>
        <v>0</v>
      </c>
      <c r="H14" s="1232">
        <f t="shared" si="3"/>
        <v>46797</v>
      </c>
      <c r="I14" s="1232">
        <f t="shared" si="3"/>
        <v>2627835</v>
      </c>
    </row>
    <row r="17" spans="1:11" ht="15">
      <c r="A17" s="1502" t="s">
        <v>1166</v>
      </c>
      <c r="B17" s="1503"/>
      <c r="C17" s="1503"/>
      <c r="D17" s="1503"/>
      <c r="E17" s="1503"/>
      <c r="F17" s="1503"/>
      <c r="G17" s="1503"/>
      <c r="H17" s="1503"/>
      <c r="I17" s="1503"/>
      <c r="J17" s="1503"/>
      <c r="K17" s="1503"/>
    </row>
    <row r="18" spans="1:11" ht="15">
      <c r="A18" s="1503" t="s">
        <v>1164</v>
      </c>
      <c r="B18" s="1503"/>
      <c r="C18" s="1503"/>
      <c r="D18" s="1503"/>
      <c r="E18" s="1503"/>
      <c r="F18" s="1503"/>
      <c r="G18" s="1503"/>
      <c r="H18" s="1503"/>
      <c r="I18" s="1503"/>
      <c r="J18" s="1503"/>
      <c r="K18" s="1503"/>
    </row>
    <row r="19" spans="1:11" ht="15.75" thickBot="1">
      <c r="A19" s="1233"/>
      <c r="B19" s="1233"/>
      <c r="C19" s="1233"/>
      <c r="D19" s="1233"/>
      <c r="E19" s="1233"/>
      <c r="F19" s="1233"/>
      <c r="G19" s="1233"/>
      <c r="H19" s="1233"/>
      <c r="I19" s="1233"/>
      <c r="J19" s="1233"/>
      <c r="K19" s="1233"/>
    </row>
    <row r="20" spans="1:11" ht="13.5" customHeight="1">
      <c r="A20" s="1504" t="s">
        <v>216</v>
      </c>
      <c r="B20" s="1506" t="s">
        <v>1147</v>
      </c>
      <c r="C20" s="1508" t="s">
        <v>22</v>
      </c>
      <c r="D20" s="1508"/>
      <c r="E20" s="1509" t="s">
        <v>1095</v>
      </c>
      <c r="F20" s="1509" t="s">
        <v>1148</v>
      </c>
      <c r="G20" s="1509" t="s">
        <v>1149</v>
      </c>
      <c r="H20" s="1509" t="s">
        <v>1150</v>
      </c>
      <c r="I20" s="1509" t="s">
        <v>1151</v>
      </c>
      <c r="J20" s="1509" t="s">
        <v>1152</v>
      </c>
      <c r="K20" s="1500" t="s">
        <v>1153</v>
      </c>
    </row>
    <row r="21" spans="1:11" ht="52.5" customHeight="1">
      <c r="A21" s="1505"/>
      <c r="B21" s="1507"/>
      <c r="C21" s="1234" t="s">
        <v>1154</v>
      </c>
      <c r="D21" s="1234" t="s">
        <v>1155</v>
      </c>
      <c r="E21" s="1510"/>
      <c r="F21" s="1510"/>
      <c r="G21" s="1510"/>
      <c r="H21" s="1512"/>
      <c r="I21" s="1510"/>
      <c r="J21" s="1522"/>
      <c r="K21" s="1501"/>
    </row>
    <row r="22" spans="1:11" ht="15">
      <c r="A22" s="1235" t="s">
        <v>1156</v>
      </c>
      <c r="B22" s="1236" t="s">
        <v>1157</v>
      </c>
      <c r="C22" s="1237">
        <v>2006</v>
      </c>
      <c r="D22" s="1238">
        <v>5680</v>
      </c>
      <c r="E22" s="1239">
        <v>2013</v>
      </c>
      <c r="F22" s="1240">
        <v>698</v>
      </c>
      <c r="G22" s="1241">
        <v>698</v>
      </c>
      <c r="H22" s="1241"/>
      <c r="I22" s="1240">
        <v>0</v>
      </c>
      <c r="J22" s="1240">
        <v>0</v>
      </c>
      <c r="K22" s="1242">
        <v>0</v>
      </c>
    </row>
    <row r="23" spans="1:11" ht="13.5" customHeight="1">
      <c r="A23" s="1235" t="s">
        <v>1158</v>
      </c>
      <c r="B23" s="1236" t="s">
        <v>1159</v>
      </c>
      <c r="C23" s="1237">
        <v>2006</v>
      </c>
      <c r="D23" s="1238">
        <v>100000</v>
      </c>
      <c r="E23" s="1239">
        <v>2016</v>
      </c>
      <c r="F23" s="1240">
        <v>62523</v>
      </c>
      <c r="G23" s="1241">
        <v>16681</v>
      </c>
      <c r="H23" s="1241">
        <v>1081</v>
      </c>
      <c r="I23" s="1240">
        <v>44761</v>
      </c>
      <c r="J23" s="1240">
        <v>44961</v>
      </c>
      <c r="K23" s="1242">
        <v>44961</v>
      </c>
    </row>
    <row r="24" spans="1:11" ht="15">
      <c r="A24" s="1243" t="s">
        <v>1160</v>
      </c>
      <c r="B24" s="1244"/>
      <c r="C24" s="1245"/>
      <c r="D24" s="1246">
        <f>SUM(D22:D23)</f>
        <v>105680</v>
      </c>
      <c r="E24" s="1247"/>
      <c r="F24" s="1248">
        <f>SUM(F22:F23)</f>
        <v>63221</v>
      </c>
      <c r="G24" s="1249">
        <f>SUM(G22:G23)</f>
        <v>17379</v>
      </c>
      <c r="H24" s="1249">
        <f>SUM(H23)</f>
        <v>1081</v>
      </c>
      <c r="I24" s="1248">
        <f>SUM(I22:I23)</f>
        <v>44761</v>
      </c>
      <c r="J24" s="1248">
        <f>SUM(J22:J23)</f>
        <v>44961</v>
      </c>
      <c r="K24" s="1242">
        <f>SUM(K22:K23)</f>
        <v>44961</v>
      </c>
    </row>
    <row r="25" spans="1:11" ht="15">
      <c r="A25" s="1243" t="s">
        <v>1161</v>
      </c>
      <c r="B25" s="1244" t="s">
        <v>1162</v>
      </c>
      <c r="C25" s="1245">
        <v>2008</v>
      </c>
      <c r="D25" s="1250">
        <v>3569115</v>
      </c>
      <c r="E25" s="1247">
        <v>2031</v>
      </c>
      <c r="F25" s="1248">
        <v>5268125</v>
      </c>
      <c r="G25" s="1249">
        <v>80056</v>
      </c>
      <c r="H25" s="1249">
        <v>2663303</v>
      </c>
      <c r="I25" s="1248">
        <v>2524766</v>
      </c>
      <c r="J25" s="1248">
        <v>2536077</v>
      </c>
      <c r="K25" s="1242">
        <v>2536077</v>
      </c>
    </row>
    <row r="26" spans="1:11" ht="15.75" thickBot="1">
      <c r="A26" s="1251" t="s">
        <v>1163</v>
      </c>
      <c r="B26" s="1252"/>
      <c r="C26" s="1253"/>
      <c r="D26" s="1254">
        <f>SUM(D24+D25)</f>
        <v>3674795</v>
      </c>
      <c r="E26" s="1255"/>
      <c r="F26" s="1256">
        <f>SUM(F24+F25)</f>
        <v>5331346</v>
      </c>
      <c r="G26" s="1257">
        <f>SUM(G24+G25)</f>
        <v>97435</v>
      </c>
      <c r="H26" s="1257">
        <f>SUM(H24:H25)</f>
        <v>2664384</v>
      </c>
      <c r="I26" s="1256">
        <f>SUM(I24+I25)</f>
        <v>2569527</v>
      </c>
      <c r="J26" s="1256">
        <f>SUM(J24:J25)</f>
        <v>2581038</v>
      </c>
      <c r="K26" s="1258">
        <f>SUM(K24+K25)</f>
        <v>2581038</v>
      </c>
    </row>
    <row r="29" spans="1:8" ht="15">
      <c r="A29" s="1513" t="s">
        <v>1167</v>
      </c>
      <c r="B29" s="1513"/>
      <c r="C29" s="1513"/>
      <c r="D29" s="1513"/>
      <c r="E29" s="1513"/>
      <c r="F29" s="1513"/>
      <c r="G29" s="1513"/>
      <c r="H29" s="1513"/>
    </row>
    <row r="30" spans="1:8" ht="15.75" thickBot="1">
      <c r="A30" s="1259"/>
      <c r="B30" s="1259"/>
      <c r="C30" s="1259"/>
      <c r="D30" s="1259"/>
      <c r="E30" s="1259"/>
      <c r="F30" s="1259"/>
      <c r="G30" s="1259"/>
      <c r="H30" s="1259"/>
    </row>
    <row r="31" spans="1:8" ht="85.5">
      <c r="A31" s="1260" t="s">
        <v>950</v>
      </c>
      <c r="B31" s="1261" t="s">
        <v>951</v>
      </c>
      <c r="C31" s="1261" t="s">
        <v>952</v>
      </c>
      <c r="D31" s="1261" t="s">
        <v>953</v>
      </c>
      <c r="E31" s="1261" t="s">
        <v>954</v>
      </c>
      <c r="F31" s="1261" t="s">
        <v>955</v>
      </c>
      <c r="G31" s="1261" t="s">
        <v>956</v>
      </c>
      <c r="H31" s="1262" t="s">
        <v>957</v>
      </c>
    </row>
    <row r="32" spans="1:8" ht="15">
      <c r="A32" s="1263" t="s">
        <v>218</v>
      </c>
      <c r="B32" s="1264">
        <v>2014</v>
      </c>
      <c r="C32" s="1265">
        <f>D32+F32+G32+H32</f>
        <v>678108</v>
      </c>
      <c r="D32" s="1266">
        <v>87123</v>
      </c>
      <c r="E32" s="1266">
        <v>558330</v>
      </c>
      <c r="F32" s="1266">
        <v>54</v>
      </c>
      <c r="G32" s="1266">
        <v>590931</v>
      </c>
      <c r="H32" s="1267"/>
    </row>
    <row r="33" spans="1:8" ht="60">
      <c r="A33" s="1268" t="s">
        <v>220</v>
      </c>
      <c r="B33" s="1269">
        <v>2014</v>
      </c>
      <c r="C33" s="1265">
        <f aca="true" t="shared" si="4" ref="C33:C44">D33+F33+G33+H33</f>
        <v>392540</v>
      </c>
      <c r="D33" s="1266">
        <v>15710</v>
      </c>
      <c r="E33" s="1266">
        <v>404270</v>
      </c>
      <c r="F33" s="1266">
        <v>56830</v>
      </c>
      <c r="G33" s="1266">
        <v>320000</v>
      </c>
      <c r="H33" s="1267"/>
    </row>
    <row r="34" spans="1:8" ht="30">
      <c r="A34" s="1268" t="s">
        <v>221</v>
      </c>
      <c r="B34" s="1269">
        <v>2015</v>
      </c>
      <c r="C34" s="1265">
        <f t="shared" si="4"/>
        <v>375243</v>
      </c>
      <c r="D34" s="1266">
        <f>17746+3713</f>
        <v>21459</v>
      </c>
      <c r="E34" s="1266">
        <v>588000</v>
      </c>
      <c r="F34" s="1266">
        <v>0</v>
      </c>
      <c r="G34" s="1266">
        <v>82000</v>
      </c>
      <c r="H34" s="1267">
        <v>271784</v>
      </c>
    </row>
    <row r="35" spans="1:8" ht="45">
      <c r="A35" s="1268" t="s">
        <v>958</v>
      </c>
      <c r="B35" s="1269">
        <v>2015</v>
      </c>
      <c r="C35" s="1265">
        <f t="shared" si="4"/>
        <v>288192</v>
      </c>
      <c r="D35" s="1266">
        <f>1890+5134+335</f>
        <v>7359</v>
      </c>
      <c r="E35" s="1266">
        <v>5341</v>
      </c>
      <c r="F35" s="1266">
        <v>5341</v>
      </c>
      <c r="G35" s="1266">
        <v>192845</v>
      </c>
      <c r="H35" s="1267">
        <f>275492-G35</f>
        <v>82647</v>
      </c>
    </row>
    <row r="36" spans="1:8" ht="30">
      <c r="A36" s="1268" t="s">
        <v>959</v>
      </c>
      <c r="B36" s="1269">
        <v>2013</v>
      </c>
      <c r="C36" s="1265">
        <f t="shared" si="4"/>
        <v>2506</v>
      </c>
      <c r="D36" s="1266">
        <f>1325+1181</f>
        <v>2506</v>
      </c>
      <c r="E36" s="1266">
        <v>121629</v>
      </c>
      <c r="F36" s="1266">
        <v>0</v>
      </c>
      <c r="G36" s="1266"/>
      <c r="H36" s="1267"/>
    </row>
    <row r="37" spans="1:8" ht="45">
      <c r="A37" s="1268" t="s">
        <v>960</v>
      </c>
      <c r="B37" s="1269">
        <v>2013</v>
      </c>
      <c r="C37" s="1265">
        <f t="shared" si="4"/>
        <v>383005</v>
      </c>
      <c r="D37" s="1266">
        <v>50684</v>
      </c>
      <c r="E37" s="1266">
        <v>456866</v>
      </c>
      <c r="F37" s="1266">
        <v>304214</v>
      </c>
      <c r="G37" s="1266">
        <v>28107</v>
      </c>
      <c r="H37" s="1267"/>
    </row>
    <row r="38" spans="1:8" ht="30">
      <c r="A38" s="1268" t="s">
        <v>275</v>
      </c>
      <c r="B38" s="1269">
        <v>2014</v>
      </c>
      <c r="C38" s="1265">
        <f t="shared" si="4"/>
        <v>185000</v>
      </c>
      <c r="D38" s="1266"/>
      <c r="E38" s="1266">
        <v>185000</v>
      </c>
      <c r="F38" s="1266">
        <v>0</v>
      </c>
      <c r="G38" s="1266">
        <v>185000</v>
      </c>
      <c r="H38" s="1267"/>
    </row>
    <row r="39" spans="1:8" ht="30">
      <c r="A39" s="1268" t="s">
        <v>276</v>
      </c>
      <c r="B39" s="1269">
        <v>2014</v>
      </c>
      <c r="C39" s="1265">
        <f t="shared" si="4"/>
        <v>1150106</v>
      </c>
      <c r="D39" s="1266">
        <v>47466</v>
      </c>
      <c r="E39" s="1266">
        <v>1102640</v>
      </c>
      <c r="F39" s="1266">
        <v>0</v>
      </c>
      <c r="G39" s="1266">
        <v>1102640</v>
      </c>
      <c r="H39" s="1267"/>
    </row>
    <row r="40" spans="1:8" ht="15">
      <c r="A40" s="1268" t="s">
        <v>961</v>
      </c>
      <c r="B40" s="1269">
        <v>2013</v>
      </c>
      <c r="C40" s="1265">
        <f t="shared" si="4"/>
        <v>0</v>
      </c>
      <c r="D40" s="1266"/>
      <c r="E40" s="1266">
        <v>116000</v>
      </c>
      <c r="F40" s="1266">
        <v>0</v>
      </c>
      <c r="G40" s="1266"/>
      <c r="H40" s="1267"/>
    </row>
    <row r="41" spans="1:8" ht="30">
      <c r="A41" s="1268" t="s">
        <v>962</v>
      </c>
      <c r="B41" s="1269">
        <v>2014</v>
      </c>
      <c r="C41" s="1265">
        <f t="shared" si="4"/>
        <v>75674</v>
      </c>
      <c r="D41" s="1266">
        <v>10241</v>
      </c>
      <c r="E41" s="1266">
        <v>65433</v>
      </c>
      <c r="F41" s="1266">
        <v>0</v>
      </c>
      <c r="G41" s="1266">
        <v>65433</v>
      </c>
      <c r="H41" s="1267"/>
    </row>
    <row r="42" spans="1:8" ht="30">
      <c r="A42" s="1268" t="s">
        <v>280</v>
      </c>
      <c r="B42" s="1269">
        <v>2014</v>
      </c>
      <c r="C42" s="1265">
        <f t="shared" si="4"/>
        <v>90625</v>
      </c>
      <c r="D42" s="1266"/>
      <c r="E42" s="1266">
        <v>90625</v>
      </c>
      <c r="F42" s="1266">
        <v>0</v>
      </c>
      <c r="G42" s="1266">
        <v>90625</v>
      </c>
      <c r="H42" s="1267"/>
    </row>
    <row r="43" spans="1:8" ht="15">
      <c r="A43" s="1268" t="s">
        <v>963</v>
      </c>
      <c r="B43" s="1269">
        <v>2014</v>
      </c>
      <c r="C43" s="1265">
        <f t="shared" si="4"/>
        <v>169000</v>
      </c>
      <c r="D43" s="1266"/>
      <c r="E43" s="1266">
        <v>138121</v>
      </c>
      <c r="F43" s="1266">
        <v>0</v>
      </c>
      <c r="G43" s="1266">
        <v>169000</v>
      </c>
      <c r="H43" s="1267"/>
    </row>
    <row r="44" spans="1:8" ht="15">
      <c r="A44" s="1268" t="s">
        <v>344</v>
      </c>
      <c r="B44" s="1269">
        <v>2014</v>
      </c>
      <c r="C44" s="1265">
        <f t="shared" si="4"/>
        <v>52290</v>
      </c>
      <c r="D44" s="1266"/>
      <c r="E44" s="1266">
        <v>52290</v>
      </c>
      <c r="F44" s="1266">
        <v>0</v>
      </c>
      <c r="G44" s="1266">
        <v>52290</v>
      </c>
      <c r="H44" s="1267"/>
    </row>
    <row r="45" spans="1:8" ht="15.75" thickBot="1">
      <c r="A45" s="1270" t="s">
        <v>449</v>
      </c>
      <c r="B45" s="1271"/>
      <c r="C45" s="1272">
        <f aca="true" t="shared" si="5" ref="C45:H45">SUM(C32:C44)</f>
        <v>3842289</v>
      </c>
      <c r="D45" s="1272">
        <f t="shared" si="5"/>
        <v>242548</v>
      </c>
      <c r="E45" s="1272">
        <f t="shared" si="5"/>
        <v>3884545</v>
      </c>
      <c r="F45" s="1272">
        <f t="shared" si="5"/>
        <v>366439</v>
      </c>
      <c r="G45" s="1272">
        <f t="shared" si="5"/>
        <v>2878871</v>
      </c>
      <c r="H45" s="1273">
        <f t="shared" si="5"/>
        <v>354431</v>
      </c>
    </row>
  </sheetData>
  <sheetProtection/>
  <mergeCells count="19">
    <mergeCell ref="A1:K1"/>
    <mergeCell ref="H20:H21"/>
    <mergeCell ref="A29:H29"/>
    <mergeCell ref="A3:I3"/>
    <mergeCell ref="A5:A6"/>
    <mergeCell ref="B5:G5"/>
    <mergeCell ref="H5:H6"/>
    <mergeCell ref="I5:I6"/>
    <mergeCell ref="I20:I21"/>
    <mergeCell ref="J20:J21"/>
    <mergeCell ref="K20:K21"/>
    <mergeCell ref="A17:K17"/>
    <mergeCell ref="A18:K18"/>
    <mergeCell ref="A20:A21"/>
    <mergeCell ref="B20:B21"/>
    <mergeCell ref="C20:D20"/>
    <mergeCell ref="E20:E21"/>
    <mergeCell ref="F20:F21"/>
    <mergeCell ref="G20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>
    <oddHeader>&amp;L16. melléklet a 8/2014.(V.5.)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view="pageLayout" zoomScaleSheetLayoutView="100" workbookViewId="0" topLeftCell="A1">
      <selection activeCell="A4" sqref="A4"/>
    </sheetView>
  </sheetViews>
  <sheetFormatPr defaultColWidth="9.00390625" defaultRowHeight="12.75"/>
  <cols>
    <col min="1" max="1" width="55.25390625" style="66" customWidth="1"/>
    <col min="2" max="2" width="11.75390625" style="66" customWidth="1"/>
    <col min="3" max="4" width="14.25390625" style="66" customWidth="1"/>
    <col min="5" max="5" width="57.75390625" style="66" customWidth="1"/>
    <col min="6" max="6" width="11.75390625" style="66" customWidth="1"/>
    <col min="7" max="7" width="14.25390625" style="66" customWidth="1"/>
    <col min="8" max="8" width="13.75390625" style="66" customWidth="1"/>
    <col min="9" max="16384" width="9.125" style="66" customWidth="1"/>
  </cols>
  <sheetData>
    <row r="1" spans="1:8" s="67" customFormat="1" ht="15" customHeight="1">
      <c r="A1" s="1337" t="s">
        <v>118</v>
      </c>
      <c r="B1" s="1337"/>
      <c r="C1" s="1337"/>
      <c r="D1" s="1337"/>
      <c r="E1" s="1337"/>
      <c r="F1" s="1337"/>
      <c r="G1" s="1337"/>
      <c r="H1" s="1337"/>
    </row>
    <row r="2" spans="1:5" ht="15.75" thickBot="1">
      <c r="A2" s="68"/>
      <c r="B2" s="68"/>
      <c r="C2" s="68"/>
      <c r="D2" s="68"/>
      <c r="E2" s="68"/>
    </row>
    <row r="3" spans="1:8" ht="14.25">
      <c r="A3" s="1338" t="s">
        <v>80</v>
      </c>
      <c r="B3" s="1339"/>
      <c r="C3" s="1339"/>
      <c r="D3" s="1340"/>
      <c r="E3" s="1338" t="s">
        <v>81</v>
      </c>
      <c r="F3" s="1339"/>
      <c r="G3" s="1339"/>
      <c r="H3" s="1340"/>
    </row>
    <row r="4" spans="1:8" ht="15" thickBot="1">
      <c r="A4" s="69"/>
      <c r="B4" s="70" t="s">
        <v>873</v>
      </c>
      <c r="C4" s="688" t="s">
        <v>33</v>
      </c>
      <c r="D4" s="361" t="s">
        <v>321</v>
      </c>
      <c r="E4" s="69"/>
      <c r="F4" s="70" t="s">
        <v>873</v>
      </c>
      <c r="G4" s="363" t="s">
        <v>33</v>
      </c>
      <c r="H4" s="361" t="s">
        <v>321</v>
      </c>
    </row>
    <row r="5" spans="1:8" ht="15">
      <c r="A5" s="71" t="s">
        <v>876</v>
      </c>
      <c r="B5" s="72">
        <v>1000</v>
      </c>
      <c r="C5" s="624">
        <v>296</v>
      </c>
      <c r="D5" s="619">
        <v>749</v>
      </c>
      <c r="E5" s="333" t="s">
        <v>119</v>
      </c>
      <c r="F5" s="72">
        <v>837643</v>
      </c>
      <c r="G5" s="624">
        <v>915607</v>
      </c>
      <c r="H5" s="619">
        <v>865519</v>
      </c>
    </row>
    <row r="6" spans="1:8" ht="15">
      <c r="A6" s="73" t="s">
        <v>120</v>
      </c>
      <c r="B6" s="74">
        <v>268721</v>
      </c>
      <c r="C6" s="306">
        <v>390104</v>
      </c>
      <c r="D6" s="326">
        <v>377556</v>
      </c>
      <c r="E6" s="334" t="s">
        <v>121</v>
      </c>
      <c r="F6" s="75">
        <v>222964</v>
      </c>
      <c r="G6" s="306">
        <v>241241</v>
      </c>
      <c r="H6" s="326">
        <v>221085</v>
      </c>
    </row>
    <row r="7" spans="1:8" ht="15">
      <c r="A7" s="76" t="s">
        <v>881</v>
      </c>
      <c r="B7" s="75">
        <v>1645016</v>
      </c>
      <c r="C7" s="306">
        <v>1673592</v>
      </c>
      <c r="D7" s="326">
        <v>1675864</v>
      </c>
      <c r="E7" s="335" t="s">
        <v>122</v>
      </c>
      <c r="F7" s="75">
        <f>1242901+5000</f>
        <v>1247901</v>
      </c>
      <c r="G7" s="306">
        <v>1398604</v>
      </c>
      <c r="H7" s="326">
        <v>1237025</v>
      </c>
    </row>
    <row r="8" spans="1:8" ht="15">
      <c r="A8" s="76" t="s">
        <v>123</v>
      </c>
      <c r="B8" s="75">
        <v>855379</v>
      </c>
      <c r="C8" s="306">
        <v>1006930</v>
      </c>
      <c r="D8" s="326">
        <v>1006930</v>
      </c>
      <c r="E8" s="334" t="s">
        <v>124</v>
      </c>
      <c r="F8" s="75">
        <v>420631</v>
      </c>
      <c r="G8" s="306">
        <v>667167</v>
      </c>
      <c r="H8" s="326">
        <v>652340</v>
      </c>
    </row>
    <row r="9" spans="1:8" ht="15">
      <c r="A9" s="76" t="s">
        <v>3</v>
      </c>
      <c r="B9" s="75">
        <v>105021</v>
      </c>
      <c r="C9" s="306">
        <v>222795</v>
      </c>
      <c r="D9" s="326">
        <v>236884</v>
      </c>
      <c r="E9" s="334" t="s">
        <v>125</v>
      </c>
      <c r="F9" s="75">
        <v>155714</v>
      </c>
      <c r="G9" s="306">
        <v>186994</v>
      </c>
      <c r="H9" s="326">
        <v>180575</v>
      </c>
    </row>
    <row r="10" spans="1:8" ht="15">
      <c r="A10" s="76" t="s">
        <v>126</v>
      </c>
      <c r="B10" s="75">
        <f>SUM(B11:B15)</f>
        <v>105257</v>
      </c>
      <c r="C10" s="306">
        <f>SUM(C11:C15)</f>
        <v>23739</v>
      </c>
      <c r="D10" s="326">
        <f>SUM(D11:D15)</f>
        <v>23742</v>
      </c>
      <c r="E10" s="334" t="s">
        <v>51</v>
      </c>
      <c r="F10" s="75">
        <v>13000</v>
      </c>
      <c r="G10" s="306"/>
      <c r="H10" s="326"/>
    </row>
    <row r="11" spans="1:8" ht="15">
      <c r="A11" s="77" t="s">
        <v>127</v>
      </c>
      <c r="B11" s="78">
        <v>20241</v>
      </c>
      <c r="C11" s="305"/>
      <c r="D11" s="327"/>
      <c r="E11" s="336" t="s">
        <v>52</v>
      </c>
      <c r="F11" s="75">
        <v>100000</v>
      </c>
      <c r="G11" s="306">
        <v>370</v>
      </c>
      <c r="H11" s="326"/>
    </row>
    <row r="12" spans="1:8" ht="15">
      <c r="A12" s="77" t="s">
        <v>128</v>
      </c>
      <c r="B12" s="78">
        <v>7000</v>
      </c>
      <c r="C12" s="305"/>
      <c r="D12" s="327"/>
      <c r="E12" s="336" t="s">
        <v>53</v>
      </c>
      <c r="F12" s="80">
        <f>SUM(F13:F18)</f>
        <v>46632</v>
      </c>
      <c r="G12" s="332">
        <f>SUM(G13:G18)</f>
        <v>3567</v>
      </c>
      <c r="H12" s="620">
        <f>SUM(H13:H18)</f>
        <v>0</v>
      </c>
    </row>
    <row r="13" spans="1:8" ht="15.75">
      <c r="A13" s="77" t="s">
        <v>129</v>
      </c>
      <c r="B13" s="78">
        <v>1200</v>
      </c>
      <c r="C13" s="305">
        <v>1200</v>
      </c>
      <c r="D13" s="327">
        <v>1200</v>
      </c>
      <c r="E13" s="337" t="s">
        <v>130</v>
      </c>
      <c r="F13" s="449">
        <v>5000</v>
      </c>
      <c r="G13" s="331">
        <v>2523</v>
      </c>
      <c r="H13" s="328"/>
    </row>
    <row r="14" spans="1:8" ht="15.75">
      <c r="A14" s="77" t="s">
        <v>131</v>
      </c>
      <c r="B14" s="78">
        <f>36200+38616</f>
        <v>74816</v>
      </c>
      <c r="C14" s="305">
        <v>20539</v>
      </c>
      <c r="D14" s="327">
        <v>20542</v>
      </c>
      <c r="E14" s="337" t="s">
        <v>132</v>
      </c>
      <c r="F14" s="449">
        <v>32632</v>
      </c>
      <c r="G14" s="331">
        <v>632</v>
      </c>
      <c r="H14" s="328"/>
    </row>
    <row r="15" spans="1:8" ht="15.75">
      <c r="A15" s="77" t="s">
        <v>133</v>
      </c>
      <c r="B15" s="78">
        <v>2000</v>
      </c>
      <c r="C15" s="305">
        <v>2000</v>
      </c>
      <c r="D15" s="327">
        <v>2000</v>
      </c>
      <c r="E15" s="337" t="s">
        <v>134</v>
      </c>
      <c r="F15" s="449">
        <v>9000</v>
      </c>
      <c r="G15" s="331">
        <v>412</v>
      </c>
      <c r="H15" s="328"/>
    </row>
    <row r="16" spans="1:8" ht="15.75">
      <c r="A16" s="79" t="s">
        <v>20</v>
      </c>
      <c r="B16" s="80">
        <v>1507660</v>
      </c>
      <c r="C16" s="332">
        <v>1538241</v>
      </c>
      <c r="D16" s="620">
        <v>1484838</v>
      </c>
      <c r="E16" s="337" t="s">
        <v>520</v>
      </c>
      <c r="F16" s="449"/>
      <c r="G16" s="331"/>
      <c r="H16" s="328"/>
    </row>
    <row r="17" spans="1:8" ht="31.5">
      <c r="A17" s="79"/>
      <c r="B17" s="80"/>
      <c r="C17" s="332"/>
      <c r="D17" s="620"/>
      <c r="E17" s="419" t="s">
        <v>357</v>
      </c>
      <c r="F17" s="449"/>
      <c r="G17" s="331"/>
      <c r="H17" s="328"/>
    </row>
    <row r="18" spans="1:8" ht="31.5">
      <c r="A18" s="79"/>
      <c r="B18" s="80"/>
      <c r="C18" s="332"/>
      <c r="D18" s="620"/>
      <c r="E18" s="419" t="s">
        <v>358</v>
      </c>
      <c r="F18" s="449"/>
      <c r="G18" s="331"/>
      <c r="H18" s="328"/>
    </row>
    <row r="19" spans="1:8" ht="15">
      <c r="A19" s="76" t="s">
        <v>773</v>
      </c>
      <c r="B19" s="78"/>
      <c r="C19" s="306">
        <v>47464</v>
      </c>
      <c r="D19" s="326">
        <v>47464</v>
      </c>
      <c r="E19" s="338" t="s">
        <v>135</v>
      </c>
      <c r="F19" s="80">
        <f>SUM(F20:F20)</f>
        <v>25000</v>
      </c>
      <c r="G19" s="332">
        <f>SUM(G20:G20)</f>
        <v>25000</v>
      </c>
      <c r="H19" s="620">
        <f>SUM(H20:H20)</f>
        <v>20090</v>
      </c>
    </row>
    <row r="20" spans="1:8" ht="15">
      <c r="A20" s="76" t="s">
        <v>30</v>
      </c>
      <c r="B20" s="78"/>
      <c r="C20" s="306"/>
      <c r="D20" s="326">
        <v>8287</v>
      </c>
      <c r="E20" s="339" t="s">
        <v>136</v>
      </c>
      <c r="F20" s="78">
        <v>25000</v>
      </c>
      <c r="G20" s="305">
        <v>25000</v>
      </c>
      <c r="H20" s="327">
        <v>20090</v>
      </c>
    </row>
    <row r="21" spans="1:8" ht="15">
      <c r="A21" s="77"/>
      <c r="B21" s="78"/>
      <c r="C21" s="305"/>
      <c r="D21" s="327"/>
      <c r="E21" s="334" t="s">
        <v>137</v>
      </c>
      <c r="F21" s="75">
        <f>SUM(F23:F24)</f>
        <v>4800</v>
      </c>
      <c r="G21" s="306">
        <f>SUM(G22:G24)</f>
        <v>42108</v>
      </c>
      <c r="H21" s="326">
        <f>SUM(H22:H24)</f>
        <v>42108</v>
      </c>
    </row>
    <row r="22" spans="1:8" ht="15">
      <c r="A22" s="77"/>
      <c r="B22" s="78"/>
      <c r="C22" s="305"/>
      <c r="D22" s="327"/>
      <c r="E22" s="450" t="s">
        <v>391</v>
      </c>
      <c r="F22" s="78"/>
      <c r="G22" s="305">
        <v>30000</v>
      </c>
      <c r="H22" s="327">
        <v>30000</v>
      </c>
    </row>
    <row r="23" spans="1:8" ht="15">
      <c r="A23" s="79"/>
      <c r="B23" s="80"/>
      <c r="C23" s="332"/>
      <c r="D23" s="620"/>
      <c r="E23" s="340" t="s">
        <v>127</v>
      </c>
      <c r="F23" s="78">
        <v>2800</v>
      </c>
      <c r="G23" s="305">
        <v>10108</v>
      </c>
      <c r="H23" s="327">
        <v>10108</v>
      </c>
    </row>
    <row r="24" spans="1:8" ht="15">
      <c r="A24" s="76"/>
      <c r="B24" s="78"/>
      <c r="C24" s="305"/>
      <c r="D24" s="327"/>
      <c r="E24" s="341" t="s">
        <v>138</v>
      </c>
      <c r="F24" s="81">
        <v>2000</v>
      </c>
      <c r="G24" s="305">
        <v>2000</v>
      </c>
      <c r="H24" s="327">
        <v>2000</v>
      </c>
    </row>
    <row r="25" spans="1:8" ht="15">
      <c r="A25" s="76"/>
      <c r="B25" s="423"/>
      <c r="C25" s="305"/>
      <c r="D25" s="327"/>
      <c r="E25" s="79" t="s">
        <v>486</v>
      </c>
      <c r="F25" s="367">
        <v>1507660</v>
      </c>
      <c r="G25" s="306">
        <v>1538241</v>
      </c>
      <c r="H25" s="326">
        <v>1484838</v>
      </c>
    </row>
    <row r="26" spans="1:8" ht="15.75" thickBot="1">
      <c r="A26" s="82"/>
      <c r="B26" s="83"/>
      <c r="C26" s="364"/>
      <c r="D26" s="621"/>
      <c r="E26" s="342" t="s">
        <v>521</v>
      </c>
      <c r="F26" s="322"/>
      <c r="G26" s="323">
        <v>17778</v>
      </c>
      <c r="H26" s="628">
        <v>35503</v>
      </c>
    </row>
    <row r="27" spans="1:256" s="87" customFormat="1" ht="15" thickBot="1">
      <c r="A27" s="84" t="s">
        <v>109</v>
      </c>
      <c r="B27" s="85">
        <f>SUM(B5+B6+B7+B8+B9+B10+B16+B19)</f>
        <v>4488054</v>
      </c>
      <c r="C27" s="368">
        <f>SUM(C5+C6+C7+C8+C9+C10+C16+C19)</f>
        <v>4903161</v>
      </c>
      <c r="D27" s="622">
        <f>SUM(D5+D6+D7+D8+D9+D10+D16+D19+D20)</f>
        <v>4862314</v>
      </c>
      <c r="E27" s="84" t="s">
        <v>110</v>
      </c>
      <c r="F27" s="362">
        <f>SUM(F5+F6+F7+F8+F9+F10+F11+F12+F19+F21+F25+F26)</f>
        <v>4581945</v>
      </c>
      <c r="G27" s="368">
        <f>SUM(G5+G6+G7+G8+G9+G10+G11+G12+G19+G21+G25+G26)</f>
        <v>5036677</v>
      </c>
      <c r="H27" s="622">
        <f>SUM(H5+H6+H7+H8+H9+H10+H11+H12+H19+H21+H25+H26)</f>
        <v>4739083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8" s="86" customFormat="1" ht="14.25">
      <c r="A28" s="88" t="s">
        <v>139</v>
      </c>
      <c r="B28" s="89"/>
      <c r="C28" s="365"/>
      <c r="D28" s="623"/>
      <c r="E28" s="88"/>
      <c r="F28" s="89"/>
      <c r="G28" s="369"/>
      <c r="H28" s="629"/>
    </row>
    <row r="29" spans="1:8" s="86" customFormat="1" ht="15">
      <c r="A29" s="956" t="s">
        <v>1123</v>
      </c>
      <c r="B29" s="957"/>
      <c r="C29" s="958"/>
      <c r="D29" s="960">
        <v>20718</v>
      </c>
      <c r="E29" s="956" t="s">
        <v>503</v>
      </c>
      <c r="F29" s="957"/>
      <c r="G29" s="959"/>
      <c r="H29" s="628">
        <v>36881</v>
      </c>
    </row>
    <row r="30" spans="1:8" s="86" customFormat="1" ht="15.75" thickBot="1">
      <c r="A30" s="90" t="s">
        <v>140</v>
      </c>
      <c r="B30" s="80">
        <v>93891</v>
      </c>
      <c r="C30" s="366">
        <v>184967</v>
      </c>
      <c r="D30" s="329">
        <v>194629</v>
      </c>
      <c r="E30" s="109"/>
      <c r="F30" s="91"/>
      <c r="G30" s="370"/>
      <c r="H30" s="630"/>
    </row>
    <row r="31" spans="1:8" s="86" customFormat="1" ht="15" thickBot="1">
      <c r="A31" s="92" t="s">
        <v>141</v>
      </c>
      <c r="B31" s="93">
        <f>SUM(B27+B28+B29+B30)</f>
        <v>4581945</v>
      </c>
      <c r="C31" s="93">
        <f>SUM(C27+C28+C29+C30)</f>
        <v>5088128</v>
      </c>
      <c r="D31" s="93">
        <f>SUM(D27+D28+D29+D30)</f>
        <v>5077661</v>
      </c>
      <c r="E31" s="92" t="s">
        <v>141</v>
      </c>
      <c r="F31" s="94">
        <f>SUM(F27)</f>
        <v>4581945</v>
      </c>
      <c r="G31" s="265">
        <f>SUM(G27:G30)</f>
        <v>5036677</v>
      </c>
      <c r="H31" s="631">
        <f>SUM(H27+H28+H29+H30)</f>
        <v>4775964</v>
      </c>
    </row>
    <row r="32" spans="1:6" s="86" customFormat="1" ht="15">
      <c r="A32" s="1"/>
      <c r="B32" s="1"/>
      <c r="C32" s="1"/>
      <c r="D32" s="1"/>
      <c r="E32" s="1"/>
      <c r="F32" s="95"/>
    </row>
    <row r="33" spans="1:8" s="67" customFormat="1" ht="15" customHeight="1">
      <c r="A33" s="1337" t="s">
        <v>142</v>
      </c>
      <c r="B33" s="1337"/>
      <c r="C33" s="1337"/>
      <c r="D33" s="1337"/>
      <c r="E33" s="1337"/>
      <c r="F33" s="1337"/>
      <c r="G33" s="1337"/>
      <c r="H33" s="1337"/>
    </row>
    <row r="34" spans="1:5" ht="14.25" customHeight="1" thickBot="1">
      <c r="A34" s="68"/>
      <c r="B34" s="68"/>
      <c r="C34" s="68"/>
      <c r="D34" s="68"/>
      <c r="E34" s="96"/>
    </row>
    <row r="35" spans="1:8" s="67" customFormat="1" ht="14.25">
      <c r="A35" s="1338" t="s">
        <v>80</v>
      </c>
      <c r="B35" s="1339"/>
      <c r="C35" s="1339"/>
      <c r="D35" s="1340"/>
      <c r="E35" s="1338" t="s">
        <v>81</v>
      </c>
      <c r="F35" s="1339"/>
      <c r="G35" s="1339"/>
      <c r="H35" s="1340"/>
    </row>
    <row r="36" spans="1:8" s="67" customFormat="1" ht="15" thickBot="1">
      <c r="A36" s="97"/>
      <c r="B36" s="430" t="s">
        <v>873</v>
      </c>
      <c r="C36" s="363" t="s">
        <v>33</v>
      </c>
      <c r="D36" s="361" t="s">
        <v>321</v>
      </c>
      <c r="E36" s="98"/>
      <c r="F36" s="430" t="s">
        <v>874</v>
      </c>
      <c r="G36" s="363" t="s">
        <v>33</v>
      </c>
      <c r="H36" s="361" t="s">
        <v>321</v>
      </c>
    </row>
    <row r="37" spans="1:8" s="67" customFormat="1" ht="15">
      <c r="A37" s="71" t="s">
        <v>99</v>
      </c>
      <c r="B37" s="431">
        <v>450279</v>
      </c>
      <c r="C37" s="624">
        <v>88526</v>
      </c>
      <c r="D37" s="625">
        <v>102763</v>
      </c>
      <c r="E37" s="71" t="s">
        <v>143</v>
      </c>
      <c r="F37" s="431">
        <v>2136937</v>
      </c>
      <c r="G37" s="624">
        <v>744494</v>
      </c>
      <c r="H37" s="619">
        <v>682607</v>
      </c>
    </row>
    <row r="38" spans="1:8" s="67" customFormat="1" ht="15">
      <c r="A38" s="76" t="s">
        <v>144</v>
      </c>
      <c r="B38" s="432">
        <v>1978</v>
      </c>
      <c r="C38" s="306">
        <v>89452</v>
      </c>
      <c r="D38" s="626">
        <v>90194</v>
      </c>
      <c r="E38" s="76" t="s">
        <v>145</v>
      </c>
      <c r="F38" s="432">
        <v>138549</v>
      </c>
      <c r="G38" s="306">
        <v>161880</v>
      </c>
      <c r="H38" s="326">
        <v>77511</v>
      </c>
    </row>
    <row r="39" spans="1:8" ht="15">
      <c r="A39" s="73" t="s">
        <v>146</v>
      </c>
      <c r="B39" s="444">
        <f>3129041+127081</f>
        <v>3256122</v>
      </c>
      <c r="C39" s="306">
        <v>463234</v>
      </c>
      <c r="D39" s="626">
        <v>405757</v>
      </c>
      <c r="E39" s="99" t="s">
        <v>147</v>
      </c>
      <c r="F39" s="432">
        <v>134081</v>
      </c>
      <c r="G39" s="306">
        <v>98430</v>
      </c>
      <c r="H39" s="326">
        <v>39471</v>
      </c>
    </row>
    <row r="40" spans="1:8" ht="15">
      <c r="A40" s="77" t="s">
        <v>148</v>
      </c>
      <c r="B40" s="433">
        <f>11084+202281+127081</f>
        <v>340446</v>
      </c>
      <c r="C40" s="305">
        <v>11084</v>
      </c>
      <c r="D40" s="627">
        <v>4746</v>
      </c>
      <c r="E40" s="76" t="s">
        <v>55</v>
      </c>
      <c r="F40" s="432">
        <v>2280302</v>
      </c>
      <c r="G40" s="306">
        <v>0</v>
      </c>
      <c r="H40" s="326">
        <v>0</v>
      </c>
    </row>
    <row r="41" spans="1:8" ht="15">
      <c r="A41" s="76" t="s">
        <v>149</v>
      </c>
      <c r="B41" s="432">
        <f>SUM(B42:B44)</f>
        <v>4192</v>
      </c>
      <c r="C41" s="626">
        <f>SUM(C42:C44)</f>
        <v>4192</v>
      </c>
      <c r="D41" s="326">
        <f>SUM(D42:D44)</f>
        <v>4583</v>
      </c>
      <c r="E41" s="76" t="s">
        <v>150</v>
      </c>
      <c r="F41" s="432">
        <f>SUM(F42:F44)</f>
        <v>5300</v>
      </c>
      <c r="G41" s="306">
        <f>SUM(G42:G44)</f>
        <v>199437</v>
      </c>
      <c r="H41" s="326">
        <f>SUM(H42:H44)</f>
        <v>106308</v>
      </c>
    </row>
    <row r="42" spans="1:8" ht="15">
      <c r="A42" s="100" t="s">
        <v>151</v>
      </c>
      <c r="B42" s="435">
        <v>2500</v>
      </c>
      <c r="C42" s="331">
        <v>2500</v>
      </c>
      <c r="D42" s="328">
        <v>2317</v>
      </c>
      <c r="E42" s="77" t="s">
        <v>152</v>
      </c>
      <c r="F42" s="433">
        <v>3500</v>
      </c>
      <c r="G42" s="305">
        <v>100</v>
      </c>
      <c r="H42" s="327">
        <v>100</v>
      </c>
    </row>
    <row r="43" spans="1:8" ht="15">
      <c r="A43" s="100" t="s">
        <v>153</v>
      </c>
      <c r="B43" s="435">
        <v>1692</v>
      </c>
      <c r="C43" s="331">
        <v>1692</v>
      </c>
      <c r="D43" s="328">
        <v>1582</v>
      </c>
      <c r="E43" s="77" t="s">
        <v>62</v>
      </c>
      <c r="F43" s="433">
        <v>1800</v>
      </c>
      <c r="G43" s="305">
        <v>1800</v>
      </c>
      <c r="H43" s="327">
        <v>1100</v>
      </c>
    </row>
    <row r="44" spans="1:8" ht="15">
      <c r="A44" s="100" t="s">
        <v>1124</v>
      </c>
      <c r="B44" s="445"/>
      <c r="C44" s="516"/>
      <c r="D44" s="324">
        <v>684</v>
      </c>
      <c r="E44" s="77" t="s">
        <v>522</v>
      </c>
      <c r="F44" s="433"/>
      <c r="G44" s="305">
        <v>197537</v>
      </c>
      <c r="H44" s="327">
        <v>105108</v>
      </c>
    </row>
    <row r="45" spans="1:8" ht="15">
      <c r="A45" s="76" t="s">
        <v>154</v>
      </c>
      <c r="B45" s="444">
        <f>SUM(B46)</f>
        <v>128864</v>
      </c>
      <c r="C45" s="330">
        <f>SUM(C46)</f>
        <v>128864</v>
      </c>
      <c r="D45" s="325">
        <f>SUM(D46)</f>
        <v>128864</v>
      </c>
      <c r="E45" s="101" t="s">
        <v>54</v>
      </c>
      <c r="F45" s="434">
        <v>50000</v>
      </c>
      <c r="G45" s="306">
        <v>13189</v>
      </c>
      <c r="H45" s="326"/>
    </row>
    <row r="46" spans="1:8" ht="15">
      <c r="A46" s="100" t="s">
        <v>886</v>
      </c>
      <c r="B46" s="435">
        <v>128864</v>
      </c>
      <c r="C46" s="330">
        <v>128864</v>
      </c>
      <c r="D46" s="325">
        <v>128864</v>
      </c>
      <c r="E46" s="101" t="s">
        <v>523</v>
      </c>
      <c r="F46" s="434">
        <f>SUM(F47:F48)</f>
        <v>0</v>
      </c>
      <c r="G46" s="306">
        <f>SUM(G47:G49)</f>
        <v>6130</v>
      </c>
      <c r="H46" s="326">
        <f>SUM(H47:H49)</f>
        <v>0</v>
      </c>
    </row>
    <row r="47" spans="1:8" ht="15">
      <c r="A47" s="76"/>
      <c r="B47" s="444"/>
      <c r="C47" s="330"/>
      <c r="D47" s="325"/>
      <c r="E47" s="100" t="s">
        <v>524</v>
      </c>
      <c r="F47" s="433"/>
      <c r="G47" s="305"/>
      <c r="H47" s="327"/>
    </row>
    <row r="48" spans="1:8" ht="15">
      <c r="A48" s="76"/>
      <c r="B48" s="444"/>
      <c r="C48" s="330"/>
      <c r="D48" s="325"/>
      <c r="E48" s="100" t="s">
        <v>525</v>
      </c>
      <c r="F48" s="433"/>
      <c r="G48" s="305">
        <v>6130</v>
      </c>
      <c r="H48" s="327"/>
    </row>
    <row r="49" spans="1:8" ht="30">
      <c r="A49" s="76"/>
      <c r="B49" s="444"/>
      <c r="C49" s="330"/>
      <c r="D49" s="325"/>
      <c r="E49" s="420" t="s">
        <v>359</v>
      </c>
      <c r="F49" s="433"/>
      <c r="G49" s="305"/>
      <c r="H49" s="327"/>
    </row>
    <row r="50" spans="1:8" s="102" customFormat="1" ht="15">
      <c r="A50" s="100"/>
      <c r="B50" s="435"/>
      <c r="C50" s="331"/>
      <c r="D50" s="328"/>
      <c r="E50" s="76" t="s">
        <v>155</v>
      </c>
      <c r="F50" s="432">
        <v>40164</v>
      </c>
      <c r="G50" s="306">
        <v>107525</v>
      </c>
      <c r="H50" s="326">
        <v>107457</v>
      </c>
    </row>
    <row r="51" spans="1:8" ht="15">
      <c r="A51" s="77"/>
      <c r="B51" s="433"/>
      <c r="C51" s="305"/>
      <c r="D51" s="327"/>
      <c r="E51" s="101" t="s">
        <v>156</v>
      </c>
      <c r="F51" s="434">
        <v>52213</v>
      </c>
      <c r="G51" s="306">
        <v>33329</v>
      </c>
      <c r="H51" s="326">
        <v>31789</v>
      </c>
    </row>
    <row r="52" spans="1:8" ht="15">
      <c r="A52" s="77"/>
      <c r="B52" s="433"/>
      <c r="C52" s="305"/>
      <c r="D52" s="327"/>
      <c r="E52" s="103" t="s">
        <v>66</v>
      </c>
      <c r="F52" s="436">
        <f>SUM(F53:F53)</f>
        <v>3046</v>
      </c>
      <c r="G52" s="519">
        <f>SUM(G53:G53)</f>
        <v>3046</v>
      </c>
      <c r="H52" s="693">
        <f>SUM(H53:H53)</f>
        <v>2898</v>
      </c>
    </row>
    <row r="53" spans="1:8" s="102" customFormat="1" ht="15.75" thickBot="1">
      <c r="A53" s="104"/>
      <c r="B53" s="446"/>
      <c r="C53" s="366"/>
      <c r="D53" s="329"/>
      <c r="E53" s="105" t="s">
        <v>157</v>
      </c>
      <c r="F53" s="437">
        <v>3046</v>
      </c>
      <c r="G53" s="520">
        <v>3046</v>
      </c>
      <c r="H53" s="694">
        <v>2898</v>
      </c>
    </row>
    <row r="54" spans="1:8" ht="15" thickBot="1">
      <c r="A54" s="106" t="s">
        <v>109</v>
      </c>
      <c r="B54" s="447">
        <f>SUM(B37,B38,B39,B41,B45)</f>
        <v>3841435</v>
      </c>
      <c r="C54" s="265">
        <f>SUM(C37,C38,C39,C41,C45)</f>
        <v>774268</v>
      </c>
      <c r="D54" s="371">
        <f>SUM(D37,D38,D39,D41,D45)</f>
        <v>732161</v>
      </c>
      <c r="E54" s="106" t="s">
        <v>110</v>
      </c>
      <c r="F54" s="438">
        <f>SUM(F37+F38+F39+F40+F41+F45+F46+F50+F51+F52)</f>
        <v>4840592</v>
      </c>
      <c r="G54" s="368">
        <f>SUM(G37+G38+G39+G40+G41+G45+G46+G50+G51+G52)</f>
        <v>1367460</v>
      </c>
      <c r="H54" s="622">
        <f>SUM(H37+H38+H39+H40+H41+H45+H46+H50+H51+H52)</f>
        <v>1048041</v>
      </c>
    </row>
    <row r="55" spans="1:8" ht="15">
      <c r="A55" s="107" t="s">
        <v>158</v>
      </c>
      <c r="B55" s="448"/>
      <c r="C55" s="517"/>
      <c r="D55" s="372"/>
      <c r="E55" s="108"/>
      <c r="F55" s="439"/>
      <c r="G55" s="330"/>
      <c r="H55" s="689"/>
    </row>
    <row r="56" spans="1:8" ht="15">
      <c r="A56" s="109" t="s">
        <v>159</v>
      </c>
      <c r="B56" s="448">
        <f>SUM(B57,B58)</f>
        <v>1122696</v>
      </c>
      <c r="C56" s="517">
        <f>SUM(C57,C58)</f>
        <v>640320</v>
      </c>
      <c r="D56" s="307">
        <f>SUM(D57,D58)</f>
        <v>640320</v>
      </c>
      <c r="E56" s="108"/>
      <c r="F56" s="439"/>
      <c r="G56" s="306"/>
      <c r="H56" s="326"/>
    </row>
    <row r="57" spans="1:8" ht="15">
      <c r="A57" s="110" t="s">
        <v>160</v>
      </c>
      <c r="B57" s="432">
        <v>407978</v>
      </c>
      <c r="C57" s="306">
        <v>640320</v>
      </c>
      <c r="D57" s="326">
        <v>640320</v>
      </c>
      <c r="E57" s="90"/>
      <c r="F57" s="440"/>
      <c r="G57" s="306"/>
      <c r="H57" s="326"/>
    </row>
    <row r="58" spans="1:8" ht="30" customHeight="1">
      <c r="A58" s="110" t="s">
        <v>164</v>
      </c>
      <c r="B58" s="432">
        <f>SUM(B59:B60)</f>
        <v>714718</v>
      </c>
      <c r="C58" s="306">
        <f>SUM(C59:C60)</f>
        <v>0</v>
      </c>
      <c r="D58" s="263">
        <f>SUM(D59:D60)</f>
        <v>0</v>
      </c>
      <c r="E58" s="111" t="s">
        <v>165</v>
      </c>
      <c r="F58" s="441">
        <v>123539</v>
      </c>
      <c r="G58" s="521">
        <v>98579</v>
      </c>
      <c r="H58" s="690">
        <v>98516</v>
      </c>
    </row>
    <row r="59" spans="1:8" ht="15">
      <c r="A59" s="100" t="s">
        <v>166</v>
      </c>
      <c r="B59" s="435">
        <v>250000</v>
      </c>
      <c r="C59" s="331"/>
      <c r="D59" s="328"/>
      <c r="E59" s="112"/>
      <c r="F59" s="440"/>
      <c r="G59" s="306"/>
      <c r="H59" s="326"/>
    </row>
    <row r="60" spans="1:8" ht="15.75" thickBot="1">
      <c r="A60" s="100" t="s">
        <v>167</v>
      </c>
      <c r="B60" s="435">
        <v>464718</v>
      </c>
      <c r="C60" s="518"/>
      <c r="D60" s="373"/>
      <c r="E60" s="264"/>
      <c r="F60" s="442"/>
      <c r="G60" s="522"/>
      <c r="H60" s="691"/>
    </row>
    <row r="61" spans="1:8" ht="15" thickBot="1">
      <c r="A61" s="84" t="s">
        <v>141</v>
      </c>
      <c r="B61" s="438">
        <f>SUM(B54,B56)</f>
        <v>4964131</v>
      </c>
      <c r="C61" s="368">
        <f>SUM(C54,C56)</f>
        <v>1414588</v>
      </c>
      <c r="D61" s="362">
        <f>SUM(D54,D56)</f>
        <v>1372481</v>
      </c>
      <c r="E61" s="113" t="s">
        <v>141</v>
      </c>
      <c r="F61" s="443">
        <f>SUM(F54,F58)</f>
        <v>4964131</v>
      </c>
      <c r="G61" s="523">
        <f>SUM(G54,G58)</f>
        <v>1466039</v>
      </c>
      <c r="H61" s="692">
        <f>SUM(H54,H58)</f>
        <v>1146557</v>
      </c>
    </row>
    <row r="62" spans="1:8" ht="15">
      <c r="A62" s="114"/>
      <c r="B62" s="115"/>
      <c r="C62" s="115"/>
      <c r="D62" s="115"/>
      <c r="E62" s="114"/>
      <c r="F62" s="115"/>
      <c r="G62" s="68"/>
      <c r="H62" s="68"/>
    </row>
    <row r="63" spans="1:8" ht="14.25">
      <c r="A63" s="116" t="s">
        <v>168</v>
      </c>
      <c r="B63" s="117">
        <f>SUM(B31,B61)</f>
        <v>9546076</v>
      </c>
      <c r="C63" s="117">
        <f>SUM(C31,C61)</f>
        <v>6502716</v>
      </c>
      <c r="D63" s="117">
        <f>SUM(D31,D61)</f>
        <v>6450142</v>
      </c>
      <c r="E63" s="116" t="s">
        <v>169</v>
      </c>
      <c r="F63" s="118">
        <f>SUM(F31,F61)</f>
        <v>9546076</v>
      </c>
      <c r="G63" s="343">
        <f>SUM(G31,G61)</f>
        <v>6502716</v>
      </c>
      <c r="H63" s="343">
        <f>SUM(H31,H61)</f>
        <v>5922521</v>
      </c>
    </row>
  </sheetData>
  <sheetProtection/>
  <mergeCells count="6">
    <mergeCell ref="A1:H1"/>
    <mergeCell ref="A3:D3"/>
    <mergeCell ref="A35:D35"/>
    <mergeCell ref="E3:H3"/>
    <mergeCell ref="E35:H35"/>
    <mergeCell ref="A33:H33"/>
  </mergeCells>
  <printOptions horizontalCentered="1"/>
  <pageMargins left="0.15748031496062992" right="0.15748031496062992" top="0.56" bottom="0.27" header="0.35" footer="0.15748031496062992"/>
  <pageSetup horizontalDpi="600" verticalDpi="600" orientation="landscape" paperSize="9" scale="54" r:id="rId1"/>
  <headerFooter alignWithMargins="0">
    <oddHeader>&amp;L 2. melléklet a 8/2014.(V.5.)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4:O77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17.625" style="983" customWidth="1"/>
    <col min="2" max="2" width="80.25390625" style="984" customWidth="1"/>
    <col min="3" max="3" width="16.875" style="983" customWidth="1"/>
    <col min="4" max="4" width="9.375" style="985" customWidth="1"/>
    <col min="5" max="5" width="14.625" style="986" customWidth="1"/>
    <col min="6" max="6" width="15.75390625" style="987" hidden="1" customWidth="1"/>
    <col min="7" max="7" width="14.75390625" style="988" hidden="1" customWidth="1"/>
    <col min="8" max="9" width="13.875" style="989" hidden="1" customWidth="1"/>
    <col min="10" max="10" width="10.625" style="989" hidden="1" customWidth="1"/>
    <col min="11" max="11" width="9.25390625" style="983" hidden="1" customWidth="1"/>
    <col min="12" max="12" width="0.37109375" style="983" hidden="1" customWidth="1"/>
    <col min="13" max="13" width="6.00390625" style="983" hidden="1" customWidth="1"/>
    <col min="14" max="14" width="13.375" style="983" customWidth="1"/>
    <col min="15" max="15" width="12.25390625" style="987" customWidth="1"/>
    <col min="16" max="16384" width="9.125" style="989" customWidth="1"/>
  </cols>
  <sheetData>
    <row r="4" spans="1:15" ht="15.75">
      <c r="A4" s="1533" t="s">
        <v>1243</v>
      </c>
      <c r="B4" s="1533"/>
      <c r="C4" s="1533"/>
      <c r="D4" s="1533"/>
      <c r="E4" s="1533"/>
      <c r="F4" s="1533"/>
      <c r="G4" s="1533"/>
      <c r="H4" s="1533"/>
      <c r="I4" s="1533"/>
      <c r="J4" s="1533"/>
      <c r="K4" s="1533"/>
      <c r="L4" s="1533"/>
      <c r="M4" s="1533"/>
      <c r="N4" s="1534"/>
      <c r="O4" s="1534"/>
    </row>
    <row r="5" spans="1:15" ht="15.75">
      <c r="A5" s="1537" t="s">
        <v>1244</v>
      </c>
      <c r="B5" s="1537"/>
      <c r="C5" s="1537"/>
      <c r="D5" s="1537"/>
      <c r="E5" s="1537"/>
      <c r="F5" s="1537"/>
      <c r="G5" s="1537"/>
      <c r="H5" s="1537"/>
      <c r="I5" s="1537"/>
      <c r="J5" s="1537"/>
      <c r="K5" s="1537"/>
      <c r="L5" s="1537"/>
      <c r="M5" s="1537"/>
      <c r="N5" s="1534"/>
      <c r="O5" s="1534"/>
    </row>
    <row r="6" spans="1:14" ht="15.75">
      <c r="A6" s="1537"/>
      <c r="B6" s="1537"/>
      <c r="C6" s="1537"/>
      <c r="D6" s="1537"/>
      <c r="E6" s="1537"/>
      <c r="F6" s="1537"/>
      <c r="G6" s="1537"/>
      <c r="H6" s="1537"/>
      <c r="I6" s="1537"/>
      <c r="J6" s="1537"/>
      <c r="K6" s="1537"/>
      <c r="L6" s="1537"/>
      <c r="M6" s="1537"/>
      <c r="N6" s="989"/>
    </row>
    <row r="7" spans="1:10" ht="15.75">
      <c r="A7" s="991"/>
      <c r="B7" s="991"/>
      <c r="C7" s="991"/>
      <c r="D7" s="991"/>
      <c r="E7" s="991"/>
      <c r="F7" s="991"/>
      <c r="G7" s="992"/>
      <c r="H7" s="993"/>
      <c r="I7" s="993"/>
      <c r="J7" s="993"/>
    </row>
    <row r="8" spans="2:6" ht="16.5" thickBot="1">
      <c r="B8" s="994"/>
      <c r="C8" s="990"/>
      <c r="D8" s="995"/>
      <c r="E8" s="996"/>
      <c r="F8" s="997"/>
    </row>
    <row r="9" spans="1:15" ht="16.5" customHeight="1">
      <c r="A9" s="1525" t="s">
        <v>627</v>
      </c>
      <c r="B9" s="1527" t="s">
        <v>628</v>
      </c>
      <c r="C9" s="1529" t="s">
        <v>629</v>
      </c>
      <c r="D9" s="1530"/>
      <c r="E9" s="1530"/>
      <c r="F9" s="1530"/>
      <c r="G9" s="1531" t="s">
        <v>861</v>
      </c>
      <c r="H9" s="1531" t="s">
        <v>862</v>
      </c>
      <c r="I9" s="1531" t="s">
        <v>863</v>
      </c>
      <c r="J9" s="1523" t="s">
        <v>809</v>
      </c>
      <c r="K9" s="1538" t="s">
        <v>238</v>
      </c>
      <c r="L9" s="1540" t="s">
        <v>82</v>
      </c>
      <c r="M9" s="1542" t="s">
        <v>744</v>
      </c>
      <c r="N9" s="1523" t="s">
        <v>76</v>
      </c>
      <c r="O9" s="1544" t="s">
        <v>1168</v>
      </c>
    </row>
    <row r="10" spans="1:15" ht="45" customHeight="1" thickBot="1">
      <c r="A10" s="1526"/>
      <c r="B10" s="1528"/>
      <c r="C10" s="1546" t="s">
        <v>630</v>
      </c>
      <c r="D10" s="1547"/>
      <c r="E10" s="999" t="s">
        <v>631</v>
      </c>
      <c r="F10" s="998" t="s">
        <v>632</v>
      </c>
      <c r="G10" s="1532"/>
      <c r="H10" s="1532"/>
      <c r="I10" s="1532"/>
      <c r="J10" s="1524"/>
      <c r="K10" s="1539"/>
      <c r="L10" s="1541"/>
      <c r="M10" s="1543"/>
      <c r="N10" s="1524"/>
      <c r="O10" s="1545"/>
    </row>
    <row r="11" spans="1:15" ht="20.25" customHeight="1" thickTop="1">
      <c r="A11" s="1185" t="s">
        <v>633</v>
      </c>
      <c r="B11" s="1000" t="s">
        <v>634</v>
      </c>
      <c r="C11" s="1001"/>
      <c r="D11" s="1002"/>
      <c r="E11" s="1003"/>
      <c r="F11" s="1001"/>
      <c r="G11" s="1004"/>
      <c r="H11" s="1004"/>
      <c r="I11" s="1004"/>
      <c r="J11" s="1005"/>
      <c r="K11" s="1006"/>
      <c r="L11" s="1007"/>
      <c r="M11" s="1007"/>
      <c r="N11" s="1008"/>
      <c r="O11" s="1186"/>
    </row>
    <row r="12" spans="1:15" ht="15.75">
      <c r="A12" s="1187" t="s">
        <v>635</v>
      </c>
      <c r="B12" s="1009" t="s">
        <v>636</v>
      </c>
      <c r="C12" s="1010">
        <v>59.25</v>
      </c>
      <c r="D12" s="1011" t="s">
        <v>637</v>
      </c>
      <c r="E12" s="1012">
        <v>4580000</v>
      </c>
      <c r="F12" s="1013">
        <f>C12*E12</f>
        <v>271365000</v>
      </c>
      <c r="G12" s="1014">
        <f>F12/12*8</f>
        <v>180910000</v>
      </c>
      <c r="H12" s="1015">
        <v>71325866.66666667</v>
      </c>
      <c r="I12" s="1015">
        <f>H12+G12</f>
        <v>252235866.6666667</v>
      </c>
      <c r="J12" s="1016">
        <f>252236-22419</f>
        <v>229817</v>
      </c>
      <c r="K12" s="1017"/>
      <c r="L12" s="1018">
        <f>J12+K12</f>
        <v>229817</v>
      </c>
      <c r="M12" s="1018">
        <f>K12+L12</f>
        <v>229817</v>
      </c>
      <c r="N12" s="1019">
        <v>229817</v>
      </c>
      <c r="O12" s="1188">
        <v>229817</v>
      </c>
    </row>
    <row r="13" spans="1:15" ht="15.75">
      <c r="A13" s="1189" t="s">
        <v>638</v>
      </c>
      <c r="B13" s="1021" t="s">
        <v>639</v>
      </c>
      <c r="C13" s="1022"/>
      <c r="D13" s="1023"/>
      <c r="E13" s="1024"/>
      <c r="F13" s="1025"/>
      <c r="G13" s="1024"/>
      <c r="H13" s="1024"/>
      <c r="I13" s="1024"/>
      <c r="J13" s="1025"/>
      <c r="K13" s="1017"/>
      <c r="L13" s="1026"/>
      <c r="M13" s="1026"/>
      <c r="N13" s="1027"/>
      <c r="O13" s="1190"/>
    </row>
    <row r="14" spans="1:15" ht="15.75">
      <c r="A14" s="1191" t="s">
        <v>640</v>
      </c>
      <c r="B14" s="1029" t="s">
        <v>641</v>
      </c>
      <c r="C14" s="1024">
        <v>1675</v>
      </c>
      <c r="D14" s="1023" t="s">
        <v>642</v>
      </c>
      <c r="E14" s="1024">
        <v>22261</v>
      </c>
      <c r="F14" s="1030">
        <v>37289401</v>
      </c>
      <c r="G14" s="1031">
        <f aca="true" t="shared" si="0" ref="G14:G23">F14/12*8</f>
        <v>24859600.666666668</v>
      </c>
      <c r="H14" s="1031">
        <v>12429800.333333334</v>
      </c>
      <c r="I14" s="1031">
        <f aca="true" t="shared" si="1" ref="I14:I23">H14+G14</f>
        <v>37289401</v>
      </c>
      <c r="J14" s="1030">
        <v>37289</v>
      </c>
      <c r="K14" s="1017">
        <v>441</v>
      </c>
      <c r="L14" s="1032">
        <f>J14+K14</f>
        <v>37730</v>
      </c>
      <c r="M14" s="1032">
        <f>37730</f>
        <v>37730</v>
      </c>
      <c r="N14" s="1033">
        <f>37730-441</f>
        <v>37289</v>
      </c>
      <c r="O14" s="1190">
        <v>37289</v>
      </c>
    </row>
    <row r="15" spans="1:15" s="1039" customFormat="1" ht="15.75">
      <c r="A15" s="1191" t="s">
        <v>643</v>
      </c>
      <c r="B15" s="1034" t="s">
        <v>644</v>
      </c>
      <c r="C15" s="1035"/>
      <c r="D15" s="1036" t="s">
        <v>645</v>
      </c>
      <c r="E15" s="1037"/>
      <c r="F15" s="1030">
        <v>52736600</v>
      </c>
      <c r="G15" s="1031">
        <f t="shared" si="0"/>
        <v>35157733.333333336</v>
      </c>
      <c r="H15" s="1031">
        <v>17578866.666666668</v>
      </c>
      <c r="I15" s="1031">
        <f t="shared" si="1"/>
        <v>52736600</v>
      </c>
      <c r="J15" s="1030">
        <v>52737</v>
      </c>
      <c r="K15" s="1038"/>
      <c r="L15" s="1032">
        <f>J15+K15</f>
        <v>52737</v>
      </c>
      <c r="M15" s="1032">
        <f>K15+L15</f>
        <v>52737</v>
      </c>
      <c r="N15" s="1033">
        <v>52737</v>
      </c>
      <c r="O15" s="1192">
        <v>52737</v>
      </c>
    </row>
    <row r="16" spans="1:15" s="1043" customFormat="1" ht="15.75">
      <c r="A16" s="1191" t="s">
        <v>646</v>
      </c>
      <c r="B16" s="1040" t="s">
        <v>647</v>
      </c>
      <c r="C16" s="1041"/>
      <c r="D16" s="1036" t="s">
        <v>645</v>
      </c>
      <c r="E16" s="1031"/>
      <c r="F16" s="1030">
        <v>5535200</v>
      </c>
      <c r="G16" s="1031">
        <f t="shared" si="0"/>
        <v>3690133.3333333335</v>
      </c>
      <c r="H16" s="1031">
        <v>1845066.6666666667</v>
      </c>
      <c r="I16" s="1031">
        <f t="shared" si="1"/>
        <v>5535200</v>
      </c>
      <c r="J16" s="1030">
        <v>5535</v>
      </c>
      <c r="K16" s="1042"/>
      <c r="L16" s="1032">
        <f>J16+K16</f>
        <v>5535</v>
      </c>
      <c r="M16" s="1032">
        <f>K16+L16</f>
        <v>5535</v>
      </c>
      <c r="N16" s="1033">
        <v>5535</v>
      </c>
      <c r="O16" s="1193">
        <v>5535</v>
      </c>
    </row>
    <row r="17" spans="1:15" ht="15.75">
      <c r="A17" s="1191" t="s">
        <v>648</v>
      </c>
      <c r="B17" s="1040" t="s">
        <v>649</v>
      </c>
      <c r="C17" s="1041"/>
      <c r="D17" s="1036" t="s">
        <v>645</v>
      </c>
      <c r="E17" s="1044"/>
      <c r="F17" s="1030">
        <v>30179985</v>
      </c>
      <c r="G17" s="1031">
        <f t="shared" si="0"/>
        <v>20119990</v>
      </c>
      <c r="H17" s="1031">
        <v>10059995</v>
      </c>
      <c r="I17" s="1031">
        <f t="shared" si="1"/>
        <v>30179985</v>
      </c>
      <c r="J17" s="1030">
        <v>30180</v>
      </c>
      <c r="K17" s="1017"/>
      <c r="L17" s="1032">
        <f>J17+K17</f>
        <v>30180</v>
      </c>
      <c r="M17" s="1032">
        <f>K17+L17</f>
        <v>30180</v>
      </c>
      <c r="N17" s="1033">
        <v>30180</v>
      </c>
      <c r="O17" s="1190">
        <v>30180</v>
      </c>
    </row>
    <row r="18" spans="1:15" ht="15.75">
      <c r="A18" s="1194" t="s">
        <v>638</v>
      </c>
      <c r="B18" s="1045" t="s">
        <v>650</v>
      </c>
      <c r="C18" s="1046"/>
      <c r="D18" s="1036"/>
      <c r="E18" s="1047"/>
      <c r="F18" s="1016">
        <f>SUM(F14:F17)</f>
        <v>125741186</v>
      </c>
      <c r="G18" s="1015">
        <f t="shared" si="0"/>
        <v>83827457.33333333</v>
      </c>
      <c r="H18" s="1015">
        <v>41913728.666666664</v>
      </c>
      <c r="I18" s="1015">
        <f t="shared" si="1"/>
        <v>125741186</v>
      </c>
      <c r="J18" s="1016">
        <f aca="true" t="shared" si="2" ref="J18:O18">SUM(J14:J17)</f>
        <v>125741</v>
      </c>
      <c r="K18" s="1048">
        <f t="shared" si="2"/>
        <v>441</v>
      </c>
      <c r="L18" s="1049">
        <f t="shared" si="2"/>
        <v>126182</v>
      </c>
      <c r="M18" s="1049">
        <f t="shared" si="2"/>
        <v>126182</v>
      </c>
      <c r="N18" s="1016">
        <f t="shared" si="2"/>
        <v>125741</v>
      </c>
      <c r="O18" s="1195">
        <f t="shared" si="2"/>
        <v>125741</v>
      </c>
    </row>
    <row r="19" spans="1:15" ht="15.75">
      <c r="A19" s="1191"/>
      <c r="B19" s="1050" t="s">
        <v>730</v>
      </c>
      <c r="C19" s="1041"/>
      <c r="D19" s="1036"/>
      <c r="E19" s="1044"/>
      <c r="F19" s="1025">
        <f>F12+F18</f>
        <v>397106186</v>
      </c>
      <c r="G19" s="1024">
        <f t="shared" si="0"/>
        <v>264737457.33333334</v>
      </c>
      <c r="H19" s="1024">
        <v>113239595.33333333</v>
      </c>
      <c r="I19" s="1024">
        <f t="shared" si="1"/>
        <v>377977052.6666667</v>
      </c>
      <c r="J19" s="1025">
        <f>377977-22419</f>
        <v>355558</v>
      </c>
      <c r="K19" s="1051">
        <f>K12+K18</f>
        <v>441</v>
      </c>
      <c r="L19" s="1028">
        <f>J19+K19</f>
        <v>355999</v>
      </c>
      <c r="M19" s="1028">
        <v>355999</v>
      </c>
      <c r="N19" s="1052">
        <v>355558</v>
      </c>
      <c r="O19" s="1196">
        <f>O12+O18</f>
        <v>355558</v>
      </c>
    </row>
    <row r="20" spans="1:15" ht="15.75">
      <c r="A20" s="1191"/>
      <c r="B20" s="1050" t="s">
        <v>731</v>
      </c>
      <c r="C20" s="1046">
        <v>53051297000</v>
      </c>
      <c r="D20" s="1036"/>
      <c r="E20" s="1053" t="s">
        <v>239</v>
      </c>
      <c r="F20" s="1030">
        <f>C20*E20</f>
        <v>265256485</v>
      </c>
      <c r="G20" s="1031">
        <f t="shared" si="0"/>
        <v>176837656.66666666</v>
      </c>
      <c r="H20" s="1031">
        <v>88418828.33333333</v>
      </c>
      <c r="I20" s="1031">
        <f t="shared" si="1"/>
        <v>265256485</v>
      </c>
      <c r="J20" s="1030">
        <v>265257</v>
      </c>
      <c r="K20" s="1017"/>
      <c r="L20" s="1028">
        <f>J20+K20</f>
        <v>265257</v>
      </c>
      <c r="M20" s="1028">
        <f>K20+L20</f>
        <v>265257</v>
      </c>
      <c r="N20" s="1052">
        <v>265257</v>
      </c>
      <c r="O20" s="1193">
        <v>265257</v>
      </c>
    </row>
    <row r="21" spans="1:15" ht="15.75" customHeight="1">
      <c r="A21" s="1194" t="s">
        <v>732</v>
      </c>
      <c r="B21" s="1054" t="s">
        <v>747</v>
      </c>
      <c r="C21" s="1055"/>
      <c r="D21" s="1056"/>
      <c r="E21" s="1044"/>
      <c r="F21" s="1016">
        <f>F19-F20</f>
        <v>131849701</v>
      </c>
      <c r="G21" s="1015">
        <f t="shared" si="0"/>
        <v>87899800.66666667</v>
      </c>
      <c r="H21" s="1015">
        <v>24820767</v>
      </c>
      <c r="I21" s="1015">
        <f t="shared" si="1"/>
        <v>112720567.66666667</v>
      </c>
      <c r="J21" s="1016">
        <f>J19-J20</f>
        <v>90301</v>
      </c>
      <c r="K21" s="1048">
        <f>K19-K20</f>
        <v>441</v>
      </c>
      <c r="L21" s="1049">
        <f>L19-L20</f>
        <v>90742</v>
      </c>
      <c r="M21" s="1049">
        <f>M19-M20</f>
        <v>90742</v>
      </c>
      <c r="N21" s="1016">
        <f>N19-N20</f>
        <v>90301</v>
      </c>
      <c r="O21" s="1195">
        <v>90301</v>
      </c>
    </row>
    <row r="22" spans="1:15" ht="15.75">
      <c r="A22" s="1194" t="s">
        <v>748</v>
      </c>
      <c r="B22" s="1021" t="s">
        <v>750</v>
      </c>
      <c r="C22" s="1024">
        <v>23767</v>
      </c>
      <c r="D22" s="1056" t="s">
        <v>637</v>
      </c>
      <c r="E22" s="1044">
        <v>2700</v>
      </c>
      <c r="F22" s="1016">
        <f>C22*E22</f>
        <v>64170900</v>
      </c>
      <c r="G22" s="1015">
        <f t="shared" si="0"/>
        <v>42780600</v>
      </c>
      <c r="H22" s="1015">
        <v>21390300</v>
      </c>
      <c r="I22" s="1015">
        <f t="shared" si="1"/>
        <v>64170900</v>
      </c>
      <c r="J22" s="1016">
        <v>64171</v>
      </c>
      <c r="K22" s="1017"/>
      <c r="L22" s="1018">
        <f>J22+K22</f>
        <v>64171</v>
      </c>
      <c r="M22" s="1018">
        <f>K22+L22</f>
        <v>64171</v>
      </c>
      <c r="N22" s="1019">
        <v>64171</v>
      </c>
      <c r="O22" s="1195">
        <v>64171</v>
      </c>
    </row>
    <row r="23" spans="1:15" ht="15" customHeight="1">
      <c r="A23" s="1197" t="s">
        <v>751</v>
      </c>
      <c r="B23" s="1057" t="s">
        <v>753</v>
      </c>
      <c r="C23" s="1058"/>
      <c r="D23" s="1059"/>
      <c r="E23" s="1060"/>
      <c r="F23" s="1061">
        <f>F21+F22</f>
        <v>196020601</v>
      </c>
      <c r="G23" s="1062">
        <f t="shared" si="0"/>
        <v>130680400.66666667</v>
      </c>
      <c r="H23" s="1062">
        <v>46211067</v>
      </c>
      <c r="I23" s="1062">
        <f t="shared" si="1"/>
        <v>176891467.6666667</v>
      </c>
      <c r="J23" s="1061">
        <f aca="true" t="shared" si="3" ref="J23:O23">SUM(J21:J22)</f>
        <v>154472</v>
      </c>
      <c r="K23" s="1063">
        <f t="shared" si="3"/>
        <v>441</v>
      </c>
      <c r="L23" s="1064">
        <f t="shared" si="3"/>
        <v>154913</v>
      </c>
      <c r="M23" s="1064">
        <f t="shared" si="3"/>
        <v>154913</v>
      </c>
      <c r="N23" s="1061">
        <f t="shared" si="3"/>
        <v>154472</v>
      </c>
      <c r="O23" s="1188">
        <f t="shared" si="3"/>
        <v>154472</v>
      </c>
    </row>
    <row r="24" spans="1:15" ht="30" customHeight="1">
      <c r="A24" s="1194" t="s">
        <v>754</v>
      </c>
      <c r="B24" s="1065" t="s">
        <v>755</v>
      </c>
      <c r="C24" s="1066"/>
      <c r="D24" s="1056"/>
      <c r="E24" s="1044"/>
      <c r="F24" s="1016"/>
      <c r="G24" s="1015"/>
      <c r="H24" s="1015"/>
      <c r="I24" s="1015"/>
      <c r="J24" s="1016"/>
      <c r="K24" s="1017"/>
      <c r="L24" s="1026"/>
      <c r="M24" s="1026"/>
      <c r="N24" s="1027"/>
      <c r="O24" s="1190"/>
    </row>
    <row r="25" spans="1:15" ht="15.75" customHeight="1">
      <c r="A25" s="1194"/>
      <c r="B25" s="1065" t="s">
        <v>756</v>
      </c>
      <c r="C25" s="1066">
        <v>52</v>
      </c>
      <c r="D25" s="1056" t="s">
        <v>637</v>
      </c>
      <c r="E25" s="1044"/>
      <c r="F25" s="1025">
        <v>98176000</v>
      </c>
      <c r="G25" s="1024">
        <f>F25/12*8</f>
        <v>65450666.666666664</v>
      </c>
      <c r="H25" s="1024">
        <v>32725333.333333332</v>
      </c>
      <c r="I25" s="1024">
        <f>H25+G25</f>
        <v>98176000</v>
      </c>
      <c r="J25" s="1025">
        <f>98176-1888</f>
        <v>96288</v>
      </c>
      <c r="K25" s="1017"/>
      <c r="L25" s="1028">
        <f>J25+K25</f>
        <v>96288</v>
      </c>
      <c r="M25" s="1028">
        <f>K25+L25</f>
        <v>96288</v>
      </c>
      <c r="N25" s="1052">
        <v>96288</v>
      </c>
      <c r="O25" s="1190">
        <v>100064</v>
      </c>
    </row>
    <row r="26" spans="1:15" ht="15.75" customHeight="1">
      <c r="A26" s="1194"/>
      <c r="B26" s="1065" t="s">
        <v>757</v>
      </c>
      <c r="C26" s="1066">
        <f>54+1</f>
        <v>55</v>
      </c>
      <c r="D26" s="1056" t="s">
        <v>637</v>
      </c>
      <c r="E26" s="1044"/>
      <c r="F26" s="1025">
        <v>50976000</v>
      </c>
      <c r="G26" s="1024">
        <f>F26/12*8</f>
        <v>33984000</v>
      </c>
      <c r="H26" s="1024">
        <v>16992000</v>
      </c>
      <c r="I26" s="1024">
        <f>H26+G26</f>
        <v>50976000</v>
      </c>
      <c r="J26" s="1025">
        <v>50976</v>
      </c>
      <c r="K26" s="1017">
        <f>944+14207</f>
        <v>15151</v>
      </c>
      <c r="L26" s="1028">
        <f>J26+K26</f>
        <v>66127</v>
      </c>
      <c r="M26" s="1028">
        <f>66127+263</f>
        <v>66390</v>
      </c>
      <c r="N26" s="1052">
        <f>66127+263+1</f>
        <v>66391</v>
      </c>
      <c r="O26" s="1190">
        <v>67706</v>
      </c>
    </row>
    <row r="27" spans="1:15" ht="15.75" customHeight="1">
      <c r="A27" s="1194"/>
      <c r="B27" s="1065" t="s">
        <v>758</v>
      </c>
      <c r="C27" s="1066">
        <v>24</v>
      </c>
      <c r="D27" s="1056" t="s">
        <v>637</v>
      </c>
      <c r="E27" s="1044"/>
      <c r="F27" s="1025">
        <v>26112000</v>
      </c>
      <c r="G27" s="1024">
        <f>F27/12*8</f>
        <v>17408000</v>
      </c>
      <c r="H27" s="1024">
        <v>8704000</v>
      </c>
      <c r="I27" s="1024">
        <f>H27+G27</f>
        <v>26112000</v>
      </c>
      <c r="J27" s="1025">
        <v>26112</v>
      </c>
      <c r="K27" s="1017"/>
      <c r="L27" s="1028">
        <f>J27+K27</f>
        <v>26112</v>
      </c>
      <c r="M27" s="1028">
        <f>K27+L27</f>
        <v>26112</v>
      </c>
      <c r="N27" s="1052">
        <v>26112</v>
      </c>
      <c r="O27" s="1190">
        <v>25786</v>
      </c>
    </row>
    <row r="28" spans="1:15" ht="15.75" customHeight="1">
      <c r="A28" s="1194"/>
      <c r="B28" s="1065" t="s">
        <v>790</v>
      </c>
      <c r="C28" s="1066">
        <v>35</v>
      </c>
      <c r="D28" s="1056" t="s">
        <v>637</v>
      </c>
      <c r="E28" s="1044"/>
      <c r="F28" s="1025">
        <v>19040000</v>
      </c>
      <c r="G28" s="1024">
        <f>F28/12*8</f>
        <v>12693333.333333334</v>
      </c>
      <c r="H28" s="1024">
        <v>6346666.666666667</v>
      </c>
      <c r="I28" s="1024">
        <f>H28+G28</f>
        <v>19040000</v>
      </c>
      <c r="J28" s="1025">
        <f>19040-3808</f>
        <v>15232</v>
      </c>
      <c r="K28" s="1017">
        <v>2176</v>
      </c>
      <c r="L28" s="1028">
        <f>J28+K28</f>
        <v>17408</v>
      </c>
      <c r="M28" s="1028">
        <v>17408</v>
      </c>
      <c r="N28" s="1052">
        <v>17408</v>
      </c>
      <c r="O28" s="1190">
        <v>17136</v>
      </c>
    </row>
    <row r="29" spans="1:15" ht="28.5" customHeight="1">
      <c r="A29" s="1197" t="s">
        <v>754</v>
      </c>
      <c r="B29" s="1067" t="s">
        <v>791</v>
      </c>
      <c r="C29" s="1066"/>
      <c r="D29" s="1056"/>
      <c r="E29" s="1044"/>
      <c r="F29" s="1061">
        <f>SUM(F25:F28)</f>
        <v>194304000</v>
      </c>
      <c r="G29" s="1062">
        <f>F29/12*8</f>
        <v>129536000</v>
      </c>
      <c r="H29" s="1062">
        <v>64768000</v>
      </c>
      <c r="I29" s="1062">
        <f>H29+G29</f>
        <v>194304000</v>
      </c>
      <c r="J29" s="1061">
        <f aca="true" t="shared" si="4" ref="J29:O29">SUM(J25:J28)</f>
        <v>188608</v>
      </c>
      <c r="K29" s="1063">
        <f t="shared" si="4"/>
        <v>17327</v>
      </c>
      <c r="L29" s="1064">
        <f t="shared" si="4"/>
        <v>205935</v>
      </c>
      <c r="M29" s="1064">
        <f t="shared" si="4"/>
        <v>206198</v>
      </c>
      <c r="N29" s="1061">
        <f t="shared" si="4"/>
        <v>206199</v>
      </c>
      <c r="O29" s="1188">
        <f t="shared" si="4"/>
        <v>210692</v>
      </c>
    </row>
    <row r="30" spans="1:15" ht="15.75">
      <c r="A30" s="1194" t="s">
        <v>792</v>
      </c>
      <c r="B30" s="1021" t="s">
        <v>793</v>
      </c>
      <c r="C30" s="1055"/>
      <c r="D30" s="1056"/>
      <c r="E30" s="1044"/>
      <c r="F30" s="1016"/>
      <c r="G30" s="1015"/>
      <c r="H30" s="1015"/>
      <c r="I30" s="1015"/>
      <c r="J30" s="1016"/>
      <c r="K30" s="1017"/>
      <c r="L30" s="1026"/>
      <c r="M30" s="1026"/>
      <c r="N30" s="1027"/>
      <c r="O30" s="1190"/>
    </row>
    <row r="31" spans="1:15" ht="15.75">
      <c r="A31" s="1194"/>
      <c r="B31" s="1021" t="s">
        <v>794</v>
      </c>
      <c r="C31" s="1055">
        <v>588</v>
      </c>
      <c r="D31" s="1056" t="s">
        <v>637</v>
      </c>
      <c r="E31" s="1044"/>
      <c r="F31" s="1025">
        <v>21168000</v>
      </c>
      <c r="G31" s="1024">
        <f>F31/12*8</f>
        <v>14112000</v>
      </c>
      <c r="H31" s="1024">
        <v>7056000</v>
      </c>
      <c r="I31" s="1024">
        <f>H31+G31</f>
        <v>21168000</v>
      </c>
      <c r="J31" s="1025">
        <f>21168-72</f>
        <v>21096</v>
      </c>
      <c r="K31" s="1017"/>
      <c r="L31" s="1028">
        <f>J31+K31</f>
        <v>21096</v>
      </c>
      <c r="M31" s="1028">
        <f>K31+L31</f>
        <v>21096</v>
      </c>
      <c r="N31" s="1052">
        <v>21096</v>
      </c>
      <c r="O31" s="1190">
        <v>21672</v>
      </c>
    </row>
    <row r="32" spans="1:15" ht="15.75">
      <c r="A32" s="1194"/>
      <c r="B32" s="1021" t="s">
        <v>795</v>
      </c>
      <c r="C32" s="1055">
        <v>593</v>
      </c>
      <c r="D32" s="1056" t="s">
        <v>637</v>
      </c>
      <c r="E32" s="1044"/>
      <c r="F32" s="1025">
        <v>10674000</v>
      </c>
      <c r="G32" s="1024">
        <f>F32/12*8</f>
        <v>7116000</v>
      </c>
      <c r="H32" s="1024">
        <v>3558000</v>
      </c>
      <c r="I32" s="1024">
        <f>H32+G32</f>
        <v>10674000</v>
      </c>
      <c r="J32" s="1025">
        <f>10674-36</f>
        <v>10638</v>
      </c>
      <c r="K32" s="1017">
        <v>198</v>
      </c>
      <c r="L32" s="1028">
        <f>J32+K32</f>
        <v>10836</v>
      </c>
      <c r="M32" s="1028">
        <v>10836</v>
      </c>
      <c r="N32" s="1052">
        <v>10836</v>
      </c>
      <c r="O32" s="1190">
        <v>10890</v>
      </c>
    </row>
    <row r="33" spans="1:15" ht="15.75">
      <c r="A33" s="1197" t="s">
        <v>792</v>
      </c>
      <c r="B33" s="1068" t="s">
        <v>796</v>
      </c>
      <c r="C33" s="1055"/>
      <c r="D33" s="1056"/>
      <c r="E33" s="1044"/>
      <c r="F33" s="1061">
        <f>SUM(F31:F32)</f>
        <v>31842000</v>
      </c>
      <c r="G33" s="1062">
        <f>F33/12*8</f>
        <v>21228000</v>
      </c>
      <c r="H33" s="1062">
        <v>10614000</v>
      </c>
      <c r="I33" s="1062">
        <f>H33+G33</f>
        <v>31842000</v>
      </c>
      <c r="J33" s="1061">
        <f aca="true" t="shared" si="5" ref="J33:O33">SUM(J31:J32)</f>
        <v>31734</v>
      </c>
      <c r="K33" s="1063">
        <f t="shared" si="5"/>
        <v>198</v>
      </c>
      <c r="L33" s="1064">
        <f t="shared" si="5"/>
        <v>31932</v>
      </c>
      <c r="M33" s="1064">
        <f t="shared" si="5"/>
        <v>31932</v>
      </c>
      <c r="N33" s="1061">
        <f t="shared" si="5"/>
        <v>31932</v>
      </c>
      <c r="O33" s="1188">
        <f t="shared" si="5"/>
        <v>32562</v>
      </c>
    </row>
    <row r="34" spans="1:15" ht="15.75">
      <c r="A34" s="1194" t="s">
        <v>797</v>
      </c>
      <c r="B34" s="1045" t="s">
        <v>798</v>
      </c>
      <c r="C34" s="1055"/>
      <c r="D34" s="1056"/>
      <c r="E34" s="1044"/>
      <c r="F34" s="1016"/>
      <c r="G34" s="1015"/>
      <c r="H34" s="1015"/>
      <c r="I34" s="1015"/>
      <c r="J34" s="1016"/>
      <c r="K34" s="1017"/>
      <c r="L34" s="1026"/>
      <c r="M34" s="1026"/>
      <c r="N34" s="1027"/>
      <c r="O34" s="1190"/>
    </row>
    <row r="35" spans="1:15" ht="29.25" customHeight="1">
      <c r="A35" s="1191" t="s">
        <v>799</v>
      </c>
      <c r="B35" s="1065" t="s">
        <v>800</v>
      </c>
      <c r="C35" s="1055">
        <v>12</v>
      </c>
      <c r="D35" s="1056" t="s">
        <v>801</v>
      </c>
      <c r="E35" s="1044">
        <v>102000</v>
      </c>
      <c r="F35" s="1025">
        <f>C35*E35</f>
        <v>1224000</v>
      </c>
      <c r="G35" s="1024">
        <f aca="true" t="shared" si="6" ref="G35:G40">F35/12*8</f>
        <v>816000</v>
      </c>
      <c r="H35" s="1024">
        <v>408000</v>
      </c>
      <c r="I35" s="1024">
        <f aca="true" t="shared" si="7" ref="I35:I40">H35+G35</f>
        <v>1224000</v>
      </c>
      <c r="J35" s="1025">
        <v>1224</v>
      </c>
      <c r="K35" s="1017"/>
      <c r="L35" s="1028">
        <f>J35+K35</f>
        <v>1224</v>
      </c>
      <c r="M35" s="1028">
        <f>K35+L35</f>
        <v>1224</v>
      </c>
      <c r="N35" s="1052">
        <v>1224</v>
      </c>
      <c r="O35" s="1190">
        <v>1020</v>
      </c>
    </row>
    <row r="36" spans="1:15" ht="15.75">
      <c r="A36" s="1191" t="s">
        <v>802</v>
      </c>
      <c r="B36" s="1021" t="s">
        <v>803</v>
      </c>
      <c r="C36" s="1069">
        <v>982</v>
      </c>
      <c r="D36" s="1056" t="s">
        <v>801</v>
      </c>
      <c r="E36" s="1044">
        <v>102000</v>
      </c>
      <c r="F36" s="1025">
        <f>C36*E36</f>
        <v>100164000</v>
      </c>
      <c r="G36" s="1024">
        <f t="shared" si="6"/>
        <v>66776000</v>
      </c>
      <c r="H36" s="1024">
        <v>33388000</v>
      </c>
      <c r="I36" s="1024">
        <f t="shared" si="7"/>
        <v>100164000</v>
      </c>
      <c r="J36" s="1025">
        <f>100164-7956</f>
        <v>92208</v>
      </c>
      <c r="K36" s="1017">
        <v>-2244</v>
      </c>
      <c r="L36" s="1028">
        <f>J36+K36</f>
        <v>89964</v>
      </c>
      <c r="M36" s="1028">
        <v>89964</v>
      </c>
      <c r="N36" s="1052">
        <v>89964</v>
      </c>
      <c r="O36" s="1190">
        <v>81396</v>
      </c>
    </row>
    <row r="37" spans="1:15" ht="15.75">
      <c r="A37" s="1197" t="s">
        <v>797</v>
      </c>
      <c r="B37" s="1068" t="s">
        <v>804</v>
      </c>
      <c r="C37" s="1069"/>
      <c r="D37" s="1056"/>
      <c r="E37" s="1044"/>
      <c r="F37" s="1025">
        <f>SUM(F35:F36)</f>
        <v>101388000</v>
      </c>
      <c r="G37" s="1024">
        <f t="shared" si="6"/>
        <v>67592000</v>
      </c>
      <c r="H37" s="1024">
        <v>33796000</v>
      </c>
      <c r="I37" s="1024">
        <f t="shared" si="7"/>
        <v>101388000</v>
      </c>
      <c r="J37" s="1025">
        <f>SUM(J35:J36)</f>
        <v>93432</v>
      </c>
      <c r="K37" s="1070">
        <f>SUM(K35:K36)</f>
        <v>-2244</v>
      </c>
      <c r="L37" s="1071">
        <f>SUM(L35:L36)</f>
        <v>91188</v>
      </c>
      <c r="M37" s="1071">
        <f>SUM(M35:M36)</f>
        <v>91188</v>
      </c>
      <c r="N37" s="1025">
        <f>SUM(N35:N36)</f>
        <v>91188</v>
      </c>
      <c r="O37" s="1190">
        <v>82416</v>
      </c>
    </row>
    <row r="38" spans="1:15" ht="30" customHeight="1">
      <c r="A38" s="1197" t="s">
        <v>805</v>
      </c>
      <c r="B38" s="1067" t="s">
        <v>806</v>
      </c>
      <c r="C38" s="1055"/>
      <c r="D38" s="1056"/>
      <c r="E38" s="1044"/>
      <c r="F38" s="1061">
        <f>F29+F33+F37</f>
        <v>327534000</v>
      </c>
      <c r="G38" s="1062">
        <f t="shared" si="6"/>
        <v>218356000</v>
      </c>
      <c r="H38" s="1062">
        <v>109178000</v>
      </c>
      <c r="I38" s="1062">
        <f t="shared" si="7"/>
        <v>327534000</v>
      </c>
      <c r="J38" s="1061">
        <f aca="true" t="shared" si="8" ref="J38:O38">J29+J33+J37</f>
        <v>313774</v>
      </c>
      <c r="K38" s="1063">
        <f t="shared" si="8"/>
        <v>15281</v>
      </c>
      <c r="L38" s="1064">
        <f t="shared" si="8"/>
        <v>329055</v>
      </c>
      <c r="M38" s="1064">
        <f t="shared" si="8"/>
        <v>329318</v>
      </c>
      <c r="N38" s="1061">
        <f t="shared" si="8"/>
        <v>329319</v>
      </c>
      <c r="O38" s="1188">
        <f t="shared" si="8"/>
        <v>325670</v>
      </c>
    </row>
    <row r="39" spans="1:15" ht="18" customHeight="1">
      <c r="A39" s="1197" t="s">
        <v>808</v>
      </c>
      <c r="B39" s="1067" t="s">
        <v>811</v>
      </c>
      <c r="C39" s="1055"/>
      <c r="D39" s="1056"/>
      <c r="E39" s="1044"/>
      <c r="F39" s="1061">
        <v>77059000</v>
      </c>
      <c r="G39" s="1062">
        <f t="shared" si="6"/>
        <v>51372666.666666664</v>
      </c>
      <c r="H39" s="1062">
        <v>25686333.333333332</v>
      </c>
      <c r="I39" s="1062">
        <f t="shared" si="7"/>
        <v>77059000</v>
      </c>
      <c r="J39" s="1061">
        <v>77059</v>
      </c>
      <c r="K39" s="1072"/>
      <c r="L39" s="1020">
        <f>J39+K39</f>
        <v>77059</v>
      </c>
      <c r="M39" s="1020">
        <v>85050</v>
      </c>
      <c r="N39" s="1073">
        <v>85050</v>
      </c>
      <c r="O39" s="1188">
        <v>85050</v>
      </c>
    </row>
    <row r="40" spans="1:15" ht="15.75" customHeight="1">
      <c r="A40" s="1197" t="s">
        <v>812</v>
      </c>
      <c r="B40" s="1067" t="s">
        <v>813</v>
      </c>
      <c r="C40" s="1055"/>
      <c r="D40" s="1056"/>
      <c r="E40" s="1044"/>
      <c r="F40" s="1061">
        <v>39707272</v>
      </c>
      <c r="G40" s="1062">
        <f t="shared" si="6"/>
        <v>26471514.666666668</v>
      </c>
      <c r="H40" s="1062">
        <v>13235757.333333334</v>
      </c>
      <c r="I40" s="1062">
        <f t="shared" si="7"/>
        <v>39707272</v>
      </c>
      <c r="J40" s="1061">
        <v>39707</v>
      </c>
      <c r="K40" s="1072"/>
      <c r="L40" s="1020">
        <f>J40+K40</f>
        <v>39707</v>
      </c>
      <c r="M40" s="1020">
        <f>K40+L40</f>
        <v>39707</v>
      </c>
      <c r="N40" s="1073">
        <v>39707</v>
      </c>
      <c r="O40" s="1188">
        <v>39707</v>
      </c>
    </row>
    <row r="41" spans="1:15" ht="15.75">
      <c r="A41" s="1198" t="s">
        <v>814</v>
      </c>
      <c r="B41" s="1050" t="s">
        <v>815</v>
      </c>
      <c r="C41" s="1055"/>
      <c r="D41" s="1056"/>
      <c r="E41" s="1044"/>
      <c r="F41" s="1025"/>
      <c r="G41" s="1024"/>
      <c r="H41" s="1024"/>
      <c r="I41" s="1024"/>
      <c r="J41" s="1025"/>
      <c r="K41" s="1017"/>
      <c r="L41" s="1026"/>
      <c r="M41" s="1026"/>
      <c r="N41" s="1027"/>
      <c r="O41" s="1190"/>
    </row>
    <row r="42" spans="1:15" ht="15.75">
      <c r="A42" s="1198" t="s">
        <v>816</v>
      </c>
      <c r="B42" s="1021" t="s">
        <v>817</v>
      </c>
      <c r="C42" s="1074">
        <v>7.8602</v>
      </c>
      <c r="D42" s="1056" t="s">
        <v>637</v>
      </c>
      <c r="E42" s="1044">
        <v>3950000</v>
      </c>
      <c r="F42" s="1025">
        <f>C42*3950000</f>
        <v>31047790</v>
      </c>
      <c r="G42" s="1024">
        <f aca="true" t="shared" si="9" ref="G42:G54">F42/12*8</f>
        <v>20698526.666666668</v>
      </c>
      <c r="H42" s="1024">
        <v>10349263.333333334</v>
      </c>
      <c r="I42" s="1024">
        <f aca="true" t="shared" si="10" ref="I42:I49">H42+G42</f>
        <v>31047790</v>
      </c>
      <c r="J42" s="1025">
        <v>31048</v>
      </c>
      <c r="K42" s="1017"/>
      <c r="L42" s="1028">
        <f aca="true" t="shared" si="11" ref="L42:M52">J42+K42</f>
        <v>31048</v>
      </c>
      <c r="M42" s="1028">
        <f t="shared" si="11"/>
        <v>31048</v>
      </c>
      <c r="N42" s="1052">
        <v>31048</v>
      </c>
      <c r="O42" s="1190">
        <v>31048</v>
      </c>
    </row>
    <row r="43" spans="1:15" ht="15.75">
      <c r="A43" s="1198" t="s">
        <v>818</v>
      </c>
      <c r="B43" s="1021" t="s">
        <v>864</v>
      </c>
      <c r="C43" s="1074" t="s">
        <v>240</v>
      </c>
      <c r="D43" s="1056" t="s">
        <v>637</v>
      </c>
      <c r="E43" s="1044">
        <v>300</v>
      </c>
      <c r="F43" s="1025">
        <f>2*39301*300</f>
        <v>23580600</v>
      </c>
      <c r="G43" s="1024">
        <f t="shared" si="9"/>
        <v>15720400</v>
      </c>
      <c r="H43" s="1024">
        <v>7860200</v>
      </c>
      <c r="I43" s="1024">
        <f t="shared" si="10"/>
        <v>23580600</v>
      </c>
      <c r="J43" s="1025">
        <v>23580</v>
      </c>
      <c r="K43" s="1017"/>
      <c r="L43" s="1028">
        <f t="shared" si="11"/>
        <v>23580</v>
      </c>
      <c r="M43" s="1028">
        <f t="shared" si="11"/>
        <v>23580</v>
      </c>
      <c r="N43" s="1052">
        <v>23580</v>
      </c>
      <c r="O43" s="1190">
        <v>23580</v>
      </c>
    </row>
    <row r="44" spans="1:15" ht="15.75">
      <c r="A44" s="1194" t="s">
        <v>819</v>
      </c>
      <c r="B44" s="1021" t="s">
        <v>820</v>
      </c>
      <c r="C44" s="1074"/>
      <c r="D44" s="1056"/>
      <c r="E44" s="1044"/>
      <c r="F44" s="1016">
        <f>SUM(F42:F43)</f>
        <v>54628390</v>
      </c>
      <c r="G44" s="1015">
        <f t="shared" si="9"/>
        <v>36418926.666666664</v>
      </c>
      <c r="H44" s="1015">
        <v>18209463.333333332</v>
      </c>
      <c r="I44" s="1015">
        <f t="shared" si="10"/>
        <v>54628390</v>
      </c>
      <c r="J44" s="1016">
        <f>SUM(J42:J43)</f>
        <v>54628</v>
      </c>
      <c r="K44" s="1017"/>
      <c r="L44" s="1018">
        <f t="shared" si="11"/>
        <v>54628</v>
      </c>
      <c r="M44" s="1018">
        <f t="shared" si="11"/>
        <v>54628</v>
      </c>
      <c r="N44" s="1019">
        <v>54628</v>
      </c>
      <c r="O44" s="1195">
        <v>54628</v>
      </c>
    </row>
    <row r="45" spans="1:15" ht="15.75">
      <c r="A45" s="1194" t="s">
        <v>821</v>
      </c>
      <c r="B45" s="1021" t="s">
        <v>822</v>
      </c>
      <c r="C45" s="1055">
        <v>100</v>
      </c>
      <c r="D45" s="1056" t="s">
        <v>637</v>
      </c>
      <c r="E45" s="1044">
        <v>55360</v>
      </c>
      <c r="F45" s="1016">
        <f>C45*E45</f>
        <v>5536000</v>
      </c>
      <c r="G45" s="1015">
        <f t="shared" si="9"/>
        <v>3690666.6666666665</v>
      </c>
      <c r="H45" s="1015">
        <v>1845333.3333333333</v>
      </c>
      <c r="I45" s="1015">
        <f t="shared" si="10"/>
        <v>5536000</v>
      </c>
      <c r="J45" s="1016">
        <v>5536</v>
      </c>
      <c r="K45" s="1017"/>
      <c r="L45" s="1018">
        <f t="shared" si="11"/>
        <v>5536</v>
      </c>
      <c r="M45" s="1018">
        <f t="shared" si="11"/>
        <v>5536</v>
      </c>
      <c r="N45" s="1019">
        <v>5536</v>
      </c>
      <c r="O45" s="1195">
        <v>3543</v>
      </c>
    </row>
    <row r="46" spans="1:15" ht="29.25" customHeight="1">
      <c r="A46" s="1194" t="s">
        <v>823</v>
      </c>
      <c r="B46" s="1065" t="s">
        <v>824</v>
      </c>
      <c r="C46" s="1055">
        <v>18</v>
      </c>
      <c r="D46" s="1056" t="s">
        <v>637</v>
      </c>
      <c r="E46" s="1044">
        <v>145000</v>
      </c>
      <c r="F46" s="1016">
        <f>C46*(E46*130%)</f>
        <v>3393000</v>
      </c>
      <c r="G46" s="1015">
        <f t="shared" si="9"/>
        <v>2262000</v>
      </c>
      <c r="H46" s="1015">
        <v>1131000</v>
      </c>
      <c r="I46" s="1015">
        <f t="shared" si="10"/>
        <v>3393000</v>
      </c>
      <c r="J46" s="1016">
        <v>3393</v>
      </c>
      <c r="K46" s="1017"/>
      <c r="L46" s="1018">
        <f t="shared" si="11"/>
        <v>3393</v>
      </c>
      <c r="M46" s="1018">
        <f t="shared" si="11"/>
        <v>3393</v>
      </c>
      <c r="N46" s="1019">
        <v>3393</v>
      </c>
      <c r="O46" s="1195">
        <v>3582</v>
      </c>
    </row>
    <row r="47" spans="1:15" ht="31.5">
      <c r="A47" s="1194" t="s">
        <v>825</v>
      </c>
      <c r="B47" s="1065" t="s">
        <v>826</v>
      </c>
      <c r="C47" s="1055">
        <v>65</v>
      </c>
      <c r="D47" s="1056" t="s">
        <v>637</v>
      </c>
      <c r="E47" s="1044">
        <v>109000</v>
      </c>
      <c r="F47" s="1016">
        <f>C47*(E47*150%)</f>
        <v>10627500</v>
      </c>
      <c r="G47" s="1015">
        <f t="shared" si="9"/>
        <v>7085000</v>
      </c>
      <c r="H47" s="1015">
        <v>3542500</v>
      </c>
      <c r="I47" s="1015">
        <f t="shared" si="10"/>
        <v>10627500</v>
      </c>
      <c r="J47" s="1016">
        <v>10628</v>
      </c>
      <c r="K47" s="1017"/>
      <c r="L47" s="1018">
        <f t="shared" si="11"/>
        <v>10628</v>
      </c>
      <c r="M47" s="1018">
        <f t="shared" si="11"/>
        <v>10628</v>
      </c>
      <c r="N47" s="1019">
        <v>10628</v>
      </c>
      <c r="O47" s="1195">
        <v>11608</v>
      </c>
    </row>
    <row r="48" spans="1:15" ht="31.5">
      <c r="A48" s="1194" t="s">
        <v>827</v>
      </c>
      <c r="B48" s="1065" t="s">
        <v>828</v>
      </c>
      <c r="C48" s="1055">
        <v>25</v>
      </c>
      <c r="D48" s="1056" t="s">
        <v>637</v>
      </c>
      <c r="E48" s="1044">
        <v>500000</v>
      </c>
      <c r="F48" s="1016">
        <f>C48*(E48*110%)</f>
        <v>13750000</v>
      </c>
      <c r="G48" s="1015">
        <f t="shared" si="9"/>
        <v>9166666.666666666</v>
      </c>
      <c r="H48" s="1015">
        <v>4583333.333333333</v>
      </c>
      <c r="I48" s="1015">
        <f t="shared" si="10"/>
        <v>13750000</v>
      </c>
      <c r="J48" s="1016">
        <f>13750+550</f>
        <v>14300</v>
      </c>
      <c r="K48" s="1017"/>
      <c r="L48" s="1018">
        <f t="shared" si="11"/>
        <v>14300</v>
      </c>
      <c r="M48" s="1018">
        <f t="shared" si="11"/>
        <v>14300</v>
      </c>
      <c r="N48" s="1019">
        <v>14300</v>
      </c>
      <c r="O48" s="1195">
        <v>13750</v>
      </c>
    </row>
    <row r="49" spans="1:15" ht="31.5">
      <c r="A49" s="1194" t="s">
        <v>829</v>
      </c>
      <c r="B49" s="1065" t="s">
        <v>830</v>
      </c>
      <c r="C49" s="1055">
        <v>36</v>
      </c>
      <c r="D49" s="1056" t="s">
        <v>637</v>
      </c>
      <c r="E49" s="1044">
        <v>206100</v>
      </c>
      <c r="F49" s="1016">
        <f>C49*(E49*120%)</f>
        <v>8903520</v>
      </c>
      <c r="G49" s="1015">
        <f t="shared" si="9"/>
        <v>5935680</v>
      </c>
      <c r="H49" s="1015">
        <v>2967840</v>
      </c>
      <c r="I49" s="1015">
        <f t="shared" si="10"/>
        <v>8903520</v>
      </c>
      <c r="J49" s="1016">
        <v>8904</v>
      </c>
      <c r="K49" s="1017"/>
      <c r="L49" s="1018">
        <f t="shared" si="11"/>
        <v>8904</v>
      </c>
      <c r="M49" s="1018">
        <f t="shared" si="11"/>
        <v>8904</v>
      </c>
      <c r="N49" s="1019">
        <v>8904</v>
      </c>
      <c r="O49" s="1195">
        <v>11871</v>
      </c>
    </row>
    <row r="50" spans="1:15" ht="15.75">
      <c r="A50" s="1197" t="s">
        <v>831</v>
      </c>
      <c r="B50" s="1068" t="s">
        <v>845</v>
      </c>
      <c r="C50" s="1075"/>
      <c r="D50" s="1056"/>
      <c r="E50" s="1044"/>
      <c r="F50" s="1061"/>
      <c r="G50" s="1062">
        <f t="shared" si="9"/>
        <v>0</v>
      </c>
      <c r="H50" s="1062">
        <v>0</v>
      </c>
      <c r="I50" s="1062"/>
      <c r="J50" s="1061"/>
      <c r="K50" s="1017"/>
      <c r="L50" s="1018">
        <f t="shared" si="11"/>
        <v>0</v>
      </c>
      <c r="M50" s="1018">
        <f t="shared" si="11"/>
        <v>0</v>
      </c>
      <c r="N50" s="1019"/>
      <c r="O50" s="1195"/>
    </row>
    <row r="51" spans="1:15" ht="15.75">
      <c r="A51" s="1191" t="s">
        <v>846</v>
      </c>
      <c r="B51" s="1050" t="s">
        <v>563</v>
      </c>
      <c r="C51" s="1055">
        <v>58</v>
      </c>
      <c r="D51" s="1056" t="s">
        <v>637</v>
      </c>
      <c r="E51" s="1044">
        <v>494100</v>
      </c>
      <c r="F51" s="1016">
        <f>C51*E51</f>
        <v>28657800</v>
      </c>
      <c r="G51" s="1015">
        <f t="shared" si="9"/>
        <v>19105200</v>
      </c>
      <c r="H51" s="1015">
        <v>9552600</v>
      </c>
      <c r="I51" s="1015">
        <f>H51+G51</f>
        <v>28657800</v>
      </c>
      <c r="J51" s="1016">
        <v>28658</v>
      </c>
      <c r="K51" s="1017"/>
      <c r="L51" s="1018">
        <f t="shared" si="11"/>
        <v>28658</v>
      </c>
      <c r="M51" s="1018">
        <f t="shared" si="11"/>
        <v>28658</v>
      </c>
      <c r="N51" s="1019">
        <v>28658</v>
      </c>
      <c r="O51" s="1195">
        <v>25693</v>
      </c>
    </row>
    <row r="52" spans="1:15" ht="31.5">
      <c r="A52" s="1194" t="s">
        <v>847</v>
      </c>
      <c r="B52" s="1065" t="s">
        <v>848</v>
      </c>
      <c r="C52" s="1055">
        <v>40</v>
      </c>
      <c r="D52" s="1056" t="s">
        <v>849</v>
      </c>
      <c r="E52" s="1044">
        <v>468350</v>
      </c>
      <c r="F52" s="1016">
        <f>C52*(E52*110%)</f>
        <v>20607400.000000004</v>
      </c>
      <c r="G52" s="1015">
        <f t="shared" si="9"/>
        <v>13738266.66666667</v>
      </c>
      <c r="H52" s="1015">
        <v>6869133.333333335</v>
      </c>
      <c r="I52" s="1015">
        <f>H52+G52</f>
        <v>20607400.000000004</v>
      </c>
      <c r="J52" s="1016">
        <v>20607</v>
      </c>
      <c r="K52" s="1017"/>
      <c r="L52" s="1018">
        <f t="shared" si="11"/>
        <v>20607</v>
      </c>
      <c r="M52" s="1018">
        <f t="shared" si="11"/>
        <v>20607</v>
      </c>
      <c r="N52" s="1019">
        <v>20607</v>
      </c>
      <c r="O52" s="1195">
        <v>20607</v>
      </c>
    </row>
    <row r="53" spans="1:15" ht="15.75">
      <c r="A53" s="1197" t="s">
        <v>814</v>
      </c>
      <c r="B53" s="1068" t="s">
        <v>850</v>
      </c>
      <c r="C53" s="1055"/>
      <c r="D53" s="1056"/>
      <c r="E53" s="1044"/>
      <c r="F53" s="1061">
        <f>SUM(F44:F52)</f>
        <v>146103610</v>
      </c>
      <c r="G53" s="1062">
        <f t="shared" si="9"/>
        <v>97402406.66666667</v>
      </c>
      <c r="H53" s="1062">
        <v>48701203.333333336</v>
      </c>
      <c r="I53" s="1062">
        <f>H53+G53</f>
        <v>146103610</v>
      </c>
      <c r="J53" s="1061">
        <f>SUM(J44:J52)</f>
        <v>146654</v>
      </c>
      <c r="K53" s="1063">
        <f>SUM(K44:K52)</f>
        <v>0</v>
      </c>
      <c r="L53" s="1064">
        <f>SUM(L44:L52)</f>
        <v>146654</v>
      </c>
      <c r="M53" s="1064">
        <f>SUM(M44:M52)</f>
        <v>146654</v>
      </c>
      <c r="N53" s="1061">
        <f>SUM(N44:N52)</f>
        <v>146654</v>
      </c>
      <c r="O53" s="1195">
        <v>145283</v>
      </c>
    </row>
    <row r="54" spans="1:15" ht="30.75" customHeight="1">
      <c r="A54" s="1199" t="s">
        <v>851</v>
      </c>
      <c r="B54" s="1067" t="s">
        <v>852</v>
      </c>
      <c r="C54" s="1055"/>
      <c r="D54" s="1056"/>
      <c r="E54" s="1044"/>
      <c r="F54" s="1061">
        <f>F40+F53</f>
        <v>185810882</v>
      </c>
      <c r="G54" s="1062">
        <f t="shared" si="9"/>
        <v>123873921.33333333</v>
      </c>
      <c r="H54" s="1062">
        <v>61936960.666666664</v>
      </c>
      <c r="I54" s="1062">
        <f>H54+G54</f>
        <v>185810882</v>
      </c>
      <c r="J54" s="1061">
        <f>J40+J53</f>
        <v>186361</v>
      </c>
      <c r="K54" s="1063">
        <f>K40+K53</f>
        <v>0</v>
      </c>
      <c r="L54" s="1064">
        <f>L40+L53</f>
        <v>186361</v>
      </c>
      <c r="M54" s="1064">
        <f>M40+M53</f>
        <v>186361</v>
      </c>
      <c r="N54" s="1061">
        <f>N40+N53</f>
        <v>186361</v>
      </c>
      <c r="O54" s="1195">
        <v>184990</v>
      </c>
    </row>
    <row r="55" spans="1:15" ht="15.75" customHeight="1">
      <c r="A55" s="1197" t="s">
        <v>853</v>
      </c>
      <c r="B55" s="1076" t="s">
        <v>854</v>
      </c>
      <c r="C55" s="1055"/>
      <c r="D55" s="1056"/>
      <c r="E55" s="1044"/>
      <c r="F55" s="1061"/>
      <c r="G55" s="1062"/>
      <c r="H55" s="1062"/>
      <c r="I55" s="1062"/>
      <c r="J55" s="1061"/>
      <c r="K55" s="1017"/>
      <c r="L55" s="1026"/>
      <c r="M55" s="1026"/>
      <c r="N55" s="1027"/>
      <c r="O55" s="1195"/>
    </row>
    <row r="56" spans="1:15" ht="15.75" customHeight="1">
      <c r="A56" s="1194" t="s">
        <v>855</v>
      </c>
      <c r="B56" s="1065" t="s">
        <v>856</v>
      </c>
      <c r="C56" s="1055"/>
      <c r="D56" s="1056"/>
      <c r="E56" s="1044"/>
      <c r="F56" s="1016">
        <v>76000000</v>
      </c>
      <c r="G56" s="1015">
        <f>F56/12*8</f>
        <v>50666666.666666664</v>
      </c>
      <c r="H56" s="1015">
        <v>25333333.333333332</v>
      </c>
      <c r="I56" s="1015">
        <f>H56+G56</f>
        <v>76000000</v>
      </c>
      <c r="J56" s="1016">
        <v>76000</v>
      </c>
      <c r="K56" s="1017"/>
      <c r="L56" s="1018">
        <f>J56+K56</f>
        <v>76000</v>
      </c>
      <c r="M56" s="1018">
        <f>K56+L56</f>
        <v>76000</v>
      </c>
      <c r="N56" s="1019">
        <v>76000</v>
      </c>
      <c r="O56" s="1195">
        <v>76000</v>
      </c>
    </row>
    <row r="57" spans="1:15" ht="15.75">
      <c r="A57" s="1194" t="s">
        <v>857</v>
      </c>
      <c r="B57" s="1021" t="s">
        <v>858</v>
      </c>
      <c r="C57" s="1055">
        <v>23767</v>
      </c>
      <c r="D57" s="1056" t="s">
        <v>637</v>
      </c>
      <c r="E57" s="1044">
        <v>1140</v>
      </c>
      <c r="F57" s="1016">
        <f>C57*E57</f>
        <v>27094380</v>
      </c>
      <c r="G57" s="1015">
        <f>F57/12*8</f>
        <v>18062920</v>
      </c>
      <c r="H57" s="1015">
        <v>9031460</v>
      </c>
      <c r="I57" s="1015">
        <f>H57+G57</f>
        <v>27094380</v>
      </c>
      <c r="J57" s="1016">
        <v>27094</v>
      </c>
      <c r="K57" s="1017"/>
      <c r="L57" s="1018">
        <f>J57+K57</f>
        <v>27094</v>
      </c>
      <c r="M57" s="1018">
        <f>K57+L57</f>
        <v>27094</v>
      </c>
      <c r="N57" s="1019">
        <v>27094</v>
      </c>
      <c r="O57" s="1195">
        <v>27094</v>
      </c>
    </row>
    <row r="58" spans="1:15" ht="30" customHeight="1">
      <c r="A58" s="1199" t="s">
        <v>859</v>
      </c>
      <c r="B58" s="1068" t="s">
        <v>810</v>
      </c>
      <c r="C58" s="1075"/>
      <c r="D58" s="1077"/>
      <c r="E58" s="1078"/>
      <c r="F58" s="1079">
        <f>SUM(F56:F57)</f>
        <v>103094380</v>
      </c>
      <c r="G58" s="1080">
        <f>F58/12*8</f>
        <v>68729586.66666667</v>
      </c>
      <c r="H58" s="1062">
        <v>34364793.333333336</v>
      </c>
      <c r="I58" s="1062">
        <f>H58+G58</f>
        <v>103094380</v>
      </c>
      <c r="J58" s="1061">
        <f>SUM(J56:J57)</f>
        <v>103094</v>
      </c>
      <c r="K58" s="1063">
        <f>SUM(K56:K57)</f>
        <v>0</v>
      </c>
      <c r="L58" s="1064">
        <f>SUM(L56:L57)</f>
        <v>103094</v>
      </c>
      <c r="M58" s="1064">
        <f>SUM(M56:M57)</f>
        <v>103094</v>
      </c>
      <c r="N58" s="1061">
        <f>SUM(N56:N57)</f>
        <v>103094</v>
      </c>
      <c r="O58" s="1188">
        <v>103094</v>
      </c>
    </row>
    <row r="59" spans="1:15" ht="30" customHeight="1" thickBot="1">
      <c r="A59" s="1200" t="s">
        <v>566</v>
      </c>
      <c r="B59" s="1098" t="s">
        <v>1169</v>
      </c>
      <c r="C59" s="1097"/>
      <c r="D59" s="1081"/>
      <c r="E59" s="1082"/>
      <c r="F59" s="1083"/>
      <c r="G59" s="1084"/>
      <c r="H59" s="1084"/>
      <c r="I59" s="1084"/>
      <c r="J59" s="1083">
        <f>76866+2511</f>
        <v>79377</v>
      </c>
      <c r="K59" s="1085">
        <v>614</v>
      </c>
      <c r="L59" s="1086">
        <f>J59+K59</f>
        <v>79991</v>
      </c>
      <c r="M59" s="1086">
        <v>79991</v>
      </c>
      <c r="N59" s="1087">
        <f>79991+78149-78149-614</f>
        <v>79377</v>
      </c>
      <c r="O59" s="1201">
        <v>78074</v>
      </c>
    </row>
    <row r="60" spans="1:15" s="1088" customFormat="1" ht="27.75" customHeight="1" thickBot="1">
      <c r="A60" s="1202"/>
      <c r="B60" s="1203" t="s">
        <v>860</v>
      </c>
      <c r="C60" s="1204"/>
      <c r="D60" s="1205"/>
      <c r="E60" s="1206"/>
      <c r="F60" s="1207">
        <f>F23+F38+F39+F54+F58+F59</f>
        <v>889518863</v>
      </c>
      <c r="G60" s="1208">
        <f>F60/12*8</f>
        <v>593012575.3333334</v>
      </c>
      <c r="H60" s="1208">
        <v>285126487.6666667</v>
      </c>
      <c r="I60" s="1208">
        <f>H60+G60</f>
        <v>878139063</v>
      </c>
      <c r="J60" s="1207">
        <f>J23+J38+J39+J54+J58+J59</f>
        <v>914137</v>
      </c>
      <c r="K60" s="1209">
        <f>K23+K38+K39+K54+K58+K59</f>
        <v>16336</v>
      </c>
      <c r="L60" s="1210">
        <f>L23+L38+L39+L54+L58+L59</f>
        <v>930473</v>
      </c>
      <c r="M60" s="1210">
        <f>M23+M38+M39+M54+M58+M59</f>
        <v>938727</v>
      </c>
      <c r="N60" s="1211">
        <f>N23+N38+N39+N54+N58+N59</f>
        <v>937673</v>
      </c>
      <c r="O60" s="1212">
        <v>931350</v>
      </c>
    </row>
    <row r="61" spans="1:15" s="1095" customFormat="1" ht="15.75">
      <c r="A61" s="1089"/>
      <c r="B61" s="1090"/>
      <c r="C61" s="1089"/>
      <c r="D61" s="1091"/>
      <c r="E61" s="1092"/>
      <c r="F61" s="1093"/>
      <c r="G61" s="1094"/>
      <c r="K61" s="1089"/>
      <c r="L61" s="1089"/>
      <c r="M61" s="1089"/>
      <c r="N61" s="1089"/>
      <c r="O61" s="1093"/>
    </row>
    <row r="62" spans="1:15" ht="12">
      <c r="A62" s="1535" t="s">
        <v>1170</v>
      </c>
      <c r="B62" s="1536"/>
      <c r="C62" s="1536"/>
      <c r="D62" s="1536"/>
      <c r="E62" s="1536"/>
      <c r="F62" s="1536"/>
      <c r="G62" s="1536"/>
      <c r="H62" s="1536"/>
      <c r="I62" s="1536"/>
      <c r="J62" s="1536"/>
      <c r="K62" s="1536"/>
      <c r="L62" s="1536"/>
      <c r="M62" s="1536"/>
      <c r="N62" s="1536"/>
      <c r="O62" s="1536"/>
    </row>
    <row r="63" spans="1:15" ht="12">
      <c r="A63" s="1536"/>
      <c r="B63" s="1536"/>
      <c r="C63" s="1536"/>
      <c r="D63" s="1536"/>
      <c r="E63" s="1536"/>
      <c r="F63" s="1536"/>
      <c r="G63" s="1536"/>
      <c r="H63" s="1536"/>
      <c r="I63" s="1536"/>
      <c r="J63" s="1536"/>
      <c r="K63" s="1536"/>
      <c r="L63" s="1536"/>
      <c r="M63" s="1536"/>
      <c r="N63" s="1536"/>
      <c r="O63" s="1536"/>
    </row>
    <row r="64" spans="1:15" ht="12">
      <c r="A64" s="1536"/>
      <c r="B64" s="1536"/>
      <c r="C64" s="1536"/>
      <c r="D64" s="1536"/>
      <c r="E64" s="1536"/>
      <c r="F64" s="1536"/>
      <c r="G64" s="1536"/>
      <c r="H64" s="1536"/>
      <c r="I64" s="1536"/>
      <c r="J64" s="1536"/>
      <c r="K64" s="1536"/>
      <c r="L64" s="1536"/>
      <c r="M64" s="1536"/>
      <c r="N64" s="1536"/>
      <c r="O64" s="1536"/>
    </row>
    <row r="65" spans="1:15" ht="12">
      <c r="A65" s="1536"/>
      <c r="B65" s="1536"/>
      <c r="C65" s="1536"/>
      <c r="D65" s="1536"/>
      <c r="E65" s="1536"/>
      <c r="F65" s="1536"/>
      <c r="G65" s="1536"/>
      <c r="H65" s="1536"/>
      <c r="I65" s="1536"/>
      <c r="J65" s="1536"/>
      <c r="K65" s="1536"/>
      <c r="L65" s="1536"/>
      <c r="M65" s="1536"/>
      <c r="N65" s="1536"/>
      <c r="O65" s="1536"/>
    </row>
    <row r="73" ht="15.75">
      <c r="E73" s="1096"/>
    </row>
    <row r="74" ht="15.75">
      <c r="E74" s="1096"/>
    </row>
    <row r="75" ht="15.75">
      <c r="E75" s="1096"/>
    </row>
    <row r="76" ht="15.75">
      <c r="E76" s="1096"/>
    </row>
    <row r="77" ht="15.75">
      <c r="E77" s="1096"/>
    </row>
  </sheetData>
  <sheetProtection/>
  <mergeCells count="17">
    <mergeCell ref="A4:O4"/>
    <mergeCell ref="A62:O65"/>
    <mergeCell ref="A5:O5"/>
    <mergeCell ref="K9:K10"/>
    <mergeCell ref="L9:L10"/>
    <mergeCell ref="M9:M10"/>
    <mergeCell ref="N9:N10"/>
    <mergeCell ref="O9:O10"/>
    <mergeCell ref="C10:D10"/>
    <mergeCell ref="A6:M6"/>
    <mergeCell ref="J9:J10"/>
    <mergeCell ref="A9:A10"/>
    <mergeCell ref="B9:B10"/>
    <mergeCell ref="C9:F9"/>
    <mergeCell ref="G9:G10"/>
    <mergeCell ref="H9:H10"/>
    <mergeCell ref="I9:I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Header>&amp;L17. melléklet a 8/2014.(V.5.)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5:Q31"/>
  <sheetViews>
    <sheetView view="pageLayout" workbookViewId="0" topLeftCell="A1">
      <selection activeCell="A4" sqref="A4"/>
    </sheetView>
  </sheetViews>
  <sheetFormatPr defaultColWidth="9.00390625" defaultRowHeight="12.75"/>
  <cols>
    <col min="1" max="1" width="37.875" style="184" customWidth="1"/>
    <col min="2" max="2" width="11.875" style="1103" customWidth="1"/>
    <col min="3" max="3" width="9.75390625" style="184" customWidth="1"/>
    <col min="4" max="4" width="10.875" style="184" customWidth="1"/>
    <col min="5" max="5" width="9.25390625" style="184" customWidth="1"/>
    <col min="6" max="6" width="9.00390625" style="1104" customWidth="1"/>
    <col min="7" max="7" width="9.00390625" style="1105" hidden="1" customWidth="1"/>
    <col min="8" max="8" width="12.75390625" style="1104" hidden="1" customWidth="1"/>
    <col min="9" max="9" width="10.00390625" style="1105" customWidth="1"/>
    <col min="10" max="10" width="9.125" style="1104" customWidth="1"/>
    <col min="11" max="11" width="12.375" style="1104" customWidth="1"/>
    <col min="12" max="12" width="10.625" style="1104" customWidth="1"/>
    <col min="13" max="13" width="10.625" style="1105" customWidth="1"/>
    <col min="14" max="14" width="10.625" style="184" customWidth="1"/>
    <col min="15" max="15" width="10.75390625" style="184" customWidth="1"/>
    <col min="16" max="16" width="10.125" style="1106" customWidth="1"/>
    <col min="17" max="16384" width="9.125" style="184" customWidth="1"/>
  </cols>
  <sheetData>
    <row r="5" spans="1:16" ht="14.25">
      <c r="A5" s="1502" t="s">
        <v>1130</v>
      </c>
      <c r="B5" s="1502"/>
      <c r="C5" s="1502"/>
      <c r="D5" s="1502"/>
      <c r="E5" s="1502"/>
      <c r="F5" s="1502"/>
      <c r="G5" s="1502"/>
      <c r="H5" s="1502"/>
      <c r="I5" s="1502"/>
      <c r="J5" s="1502"/>
      <c r="K5" s="1502"/>
      <c r="L5" s="1502"/>
      <c r="M5" s="1502"/>
      <c r="N5" s="1502"/>
      <c r="O5" s="1502"/>
      <c r="P5" s="1502"/>
    </row>
    <row r="6" spans="1:16" ht="14.25">
      <c r="A6" s="1100"/>
      <c r="B6" s="1100"/>
      <c r="C6" s="1100"/>
      <c r="D6" s="1100"/>
      <c r="E6" s="1100"/>
      <c r="F6" s="1101"/>
      <c r="G6" s="1102"/>
      <c r="H6" s="1101"/>
      <c r="I6" s="1101"/>
      <c r="J6" s="1101"/>
      <c r="K6" s="1101"/>
      <c r="L6" s="1101"/>
      <c r="M6" s="1101"/>
      <c r="N6" s="1100"/>
      <c r="O6" s="1100"/>
      <c r="P6" s="1100"/>
    </row>
    <row r="7" spans="1:16" ht="14.25">
      <c r="A7" s="1100"/>
      <c r="B7" s="1100"/>
      <c r="C7" s="1100"/>
      <c r="D7" s="1100"/>
      <c r="E7" s="1100"/>
      <c r="F7" s="1101"/>
      <c r="G7" s="1102"/>
      <c r="H7" s="1101"/>
      <c r="I7" s="1101"/>
      <c r="J7" s="1101"/>
      <c r="K7" s="1101"/>
      <c r="L7" s="1101"/>
      <c r="M7" s="1101"/>
      <c r="N7" s="1100"/>
      <c r="O7" s="1100"/>
      <c r="P7" s="1100"/>
    </row>
    <row r="9" spans="12:14" ht="13.5" thickBot="1">
      <c r="L9" s="1107"/>
      <c r="M9" s="1108"/>
      <c r="N9" s="1109"/>
    </row>
    <row r="10" spans="1:16" ht="21.75" customHeight="1">
      <c r="A10" s="1548" t="s">
        <v>979</v>
      </c>
      <c r="B10" s="1550" t="s">
        <v>980</v>
      </c>
      <c r="C10" s="1552" t="s">
        <v>981</v>
      </c>
      <c r="D10" s="1552" t="s">
        <v>1173</v>
      </c>
      <c r="E10" s="1552" t="s">
        <v>982</v>
      </c>
      <c r="F10" s="1552"/>
      <c r="G10" s="1555" t="s">
        <v>1174</v>
      </c>
      <c r="H10" s="1557" t="s">
        <v>983</v>
      </c>
      <c r="I10" s="1559" t="s">
        <v>983</v>
      </c>
      <c r="J10" s="1559"/>
      <c r="K10" s="1557" t="s">
        <v>984</v>
      </c>
      <c r="L10" s="1561"/>
      <c r="M10" s="1559" t="s">
        <v>985</v>
      </c>
      <c r="N10" s="1563"/>
      <c r="O10" s="1552" t="s">
        <v>986</v>
      </c>
      <c r="P10" s="1566" t="s">
        <v>987</v>
      </c>
    </row>
    <row r="11" spans="1:16" ht="21.75" customHeight="1">
      <c r="A11" s="1549"/>
      <c r="B11" s="1551"/>
      <c r="C11" s="1553"/>
      <c r="D11" s="1553"/>
      <c r="E11" s="1554"/>
      <c r="F11" s="1554"/>
      <c r="G11" s="1556"/>
      <c r="H11" s="1558"/>
      <c r="I11" s="1560"/>
      <c r="J11" s="1560"/>
      <c r="K11" s="1562"/>
      <c r="L11" s="1562"/>
      <c r="M11" s="1564"/>
      <c r="N11" s="1564"/>
      <c r="O11" s="1565"/>
      <c r="P11" s="1567"/>
    </row>
    <row r="12" spans="1:16" ht="12" customHeight="1">
      <c r="A12" s="1549"/>
      <c r="B12" s="1551"/>
      <c r="C12" s="1553"/>
      <c r="D12" s="1553"/>
      <c r="E12" s="1568" t="s">
        <v>988</v>
      </c>
      <c r="F12" s="1560" t="s">
        <v>989</v>
      </c>
      <c r="G12" s="1556" t="s">
        <v>988</v>
      </c>
      <c r="H12" s="1560" t="s">
        <v>990</v>
      </c>
      <c r="I12" s="1556" t="s">
        <v>988</v>
      </c>
      <c r="J12" s="1560" t="s">
        <v>989</v>
      </c>
      <c r="K12" s="1556" t="s">
        <v>991</v>
      </c>
      <c r="L12" s="1560" t="s">
        <v>989</v>
      </c>
      <c r="M12" s="1556" t="s">
        <v>992</v>
      </c>
      <c r="N12" s="1554" t="s">
        <v>993</v>
      </c>
      <c r="O12" s="1570" t="s">
        <v>994</v>
      </c>
      <c r="P12" s="1572" t="s">
        <v>994</v>
      </c>
    </row>
    <row r="13" spans="1:16" ht="12" customHeight="1">
      <c r="A13" s="1549"/>
      <c r="B13" s="1551"/>
      <c r="C13" s="1553"/>
      <c r="D13" s="1553"/>
      <c r="E13" s="1551"/>
      <c r="F13" s="1564"/>
      <c r="G13" s="1569"/>
      <c r="H13" s="1564"/>
      <c r="I13" s="1569"/>
      <c r="J13" s="1564"/>
      <c r="K13" s="1569"/>
      <c r="L13" s="1564"/>
      <c r="M13" s="1569"/>
      <c r="N13" s="1554"/>
      <c r="O13" s="1571"/>
      <c r="P13" s="1573"/>
    </row>
    <row r="14" spans="1:17" ht="12.75">
      <c r="A14" s="203" t="s">
        <v>185</v>
      </c>
      <c r="B14" s="1110">
        <v>129</v>
      </c>
      <c r="C14" s="1111">
        <v>71140</v>
      </c>
      <c r="D14" s="1111">
        <f>C14/B14</f>
        <v>551.4728682170543</v>
      </c>
      <c r="E14" s="1112">
        <v>10179</v>
      </c>
      <c r="F14" s="1167">
        <f>E14/M14</f>
        <v>0.14171551088030962</v>
      </c>
      <c r="G14" s="1112">
        <v>61648</v>
      </c>
      <c r="H14" s="1112">
        <f>23500000+1950860</f>
        <v>25450860</v>
      </c>
      <c r="I14" s="1112">
        <v>53070</v>
      </c>
      <c r="J14" s="1167">
        <f>I14/M14</f>
        <v>0.7388586464699904</v>
      </c>
      <c r="K14" s="1112">
        <f>M14-E14-I14</f>
        <v>8578</v>
      </c>
      <c r="L14" s="1167">
        <f>K14/M14</f>
        <v>0.11942584264969998</v>
      </c>
      <c r="M14" s="1112">
        <f>E14+G14</f>
        <v>71827</v>
      </c>
      <c r="N14" s="1167">
        <f>M14/M21</f>
        <v>0.19466525013754246</v>
      </c>
      <c r="O14" s="1110">
        <f aca="true" t="shared" si="0" ref="O14:O21">I14/B14</f>
        <v>411.3953488372093</v>
      </c>
      <c r="P14" s="1168">
        <f aca="true" t="shared" si="1" ref="P14:P21">K14/B14</f>
        <v>66.49612403100775</v>
      </c>
      <c r="Q14" s="200"/>
    </row>
    <row r="15" spans="1:17" ht="12.75">
      <c r="A15" s="203" t="s">
        <v>186</v>
      </c>
      <c r="B15" s="1110">
        <v>49.67</v>
      </c>
      <c r="C15" s="1111">
        <v>25835</v>
      </c>
      <c r="D15" s="1111">
        <f aca="true" t="shared" si="2" ref="D15:D20">C15/B15</f>
        <v>520.1328769881216</v>
      </c>
      <c r="E15" s="1111">
        <v>2341</v>
      </c>
      <c r="F15" s="1167">
        <f aca="true" t="shared" si="3" ref="F15:F21">E15/M15</f>
        <v>0.09038261071001119</v>
      </c>
      <c r="G15" s="1112">
        <v>23560</v>
      </c>
      <c r="H15" s="1112">
        <f>9948333+1552440</f>
        <v>11500773</v>
      </c>
      <c r="I15" s="1112">
        <v>21506</v>
      </c>
      <c r="J15" s="1167">
        <f aca="true" t="shared" si="4" ref="J15:J21">I15/M15</f>
        <v>0.8303154318366086</v>
      </c>
      <c r="K15" s="1112">
        <f aca="true" t="shared" si="5" ref="K15:K20">M15-E15-I15</f>
        <v>2054</v>
      </c>
      <c r="L15" s="1167">
        <f aca="true" t="shared" si="6" ref="L15:L20">K15/M15</f>
        <v>0.07930195745338017</v>
      </c>
      <c r="M15" s="1112">
        <v>25901</v>
      </c>
      <c r="N15" s="1167">
        <f>M15/M21</f>
        <v>0.07019678733362784</v>
      </c>
      <c r="O15" s="1110">
        <f t="shared" si="0"/>
        <v>432.97765250654317</v>
      </c>
      <c r="P15" s="1168">
        <f t="shared" si="1"/>
        <v>41.35292933360177</v>
      </c>
      <c r="Q15" s="200"/>
    </row>
    <row r="16" spans="1:17" ht="12.75">
      <c r="A16" s="203" t="s">
        <v>187</v>
      </c>
      <c r="B16" s="1110">
        <v>99</v>
      </c>
      <c r="C16" s="1111">
        <v>55940</v>
      </c>
      <c r="D16" s="1111">
        <f t="shared" si="2"/>
        <v>565.0505050505051</v>
      </c>
      <c r="E16" s="1111">
        <v>7021</v>
      </c>
      <c r="F16" s="1167">
        <f t="shared" si="3"/>
        <v>0.12528103922058456</v>
      </c>
      <c r="G16" s="1112">
        <v>49021</v>
      </c>
      <c r="H16" s="1112">
        <f>18878333+1683540</f>
        <v>20561873</v>
      </c>
      <c r="I16" s="1112">
        <v>43202</v>
      </c>
      <c r="J16" s="1167">
        <f t="shared" si="4"/>
        <v>0.7708861211234431</v>
      </c>
      <c r="K16" s="1112">
        <f t="shared" si="5"/>
        <v>5819</v>
      </c>
      <c r="L16" s="1167">
        <f t="shared" si="6"/>
        <v>0.1038328396559723</v>
      </c>
      <c r="M16" s="1112">
        <v>56042</v>
      </c>
      <c r="N16" s="1167">
        <f>M16/M21</f>
        <v>0.15188480582800554</v>
      </c>
      <c r="O16" s="1110">
        <f t="shared" si="0"/>
        <v>436.3838383838384</v>
      </c>
      <c r="P16" s="1168">
        <f t="shared" si="1"/>
        <v>58.77777777777778</v>
      </c>
      <c r="Q16" s="200"/>
    </row>
    <row r="17" spans="1:17" ht="12.75">
      <c r="A17" s="203" t="s">
        <v>995</v>
      </c>
      <c r="B17" s="1110">
        <v>127</v>
      </c>
      <c r="C17" s="1111">
        <v>78755</v>
      </c>
      <c r="D17" s="1111">
        <f t="shared" si="2"/>
        <v>620.1181102362204</v>
      </c>
      <c r="E17" s="1111">
        <v>15260</v>
      </c>
      <c r="F17" s="1167">
        <f t="shared" si="3"/>
        <v>0.19217691358335642</v>
      </c>
      <c r="G17" s="1112">
        <v>64146</v>
      </c>
      <c r="H17" s="1112">
        <f>23787267+306010</f>
        <v>24093277</v>
      </c>
      <c r="I17" s="1112">
        <v>52749</v>
      </c>
      <c r="J17" s="1167">
        <f t="shared" si="4"/>
        <v>0.6642948895549454</v>
      </c>
      <c r="K17" s="1112">
        <f t="shared" si="5"/>
        <v>11397</v>
      </c>
      <c r="L17" s="1167">
        <f t="shared" si="6"/>
        <v>0.1435281968616981</v>
      </c>
      <c r="M17" s="1112">
        <v>79406</v>
      </c>
      <c r="N17" s="1167">
        <f>M17/M21</f>
        <v>0.21520582583738282</v>
      </c>
      <c r="O17" s="1110">
        <f t="shared" si="0"/>
        <v>415.34645669291336</v>
      </c>
      <c r="P17" s="1168">
        <f t="shared" si="1"/>
        <v>89.74015748031496</v>
      </c>
      <c r="Q17" s="200"/>
    </row>
    <row r="18" spans="1:17" ht="12.75">
      <c r="A18" s="203" t="s">
        <v>188</v>
      </c>
      <c r="B18" s="1110">
        <v>72.33</v>
      </c>
      <c r="C18" s="1111">
        <v>64415</v>
      </c>
      <c r="D18" s="1111">
        <f t="shared" si="2"/>
        <v>890.5709940550256</v>
      </c>
      <c r="E18" s="1111">
        <v>25494</v>
      </c>
      <c r="F18" s="1167">
        <f t="shared" si="3"/>
        <v>0.3843509724106739</v>
      </c>
      <c r="G18" s="1112">
        <v>40836</v>
      </c>
      <c r="H18" s="1112">
        <f>14100000+939080</f>
        <v>15039080</v>
      </c>
      <c r="I18" s="1112">
        <v>30316</v>
      </c>
      <c r="J18" s="1167">
        <f t="shared" si="4"/>
        <v>0.4570480928689884</v>
      </c>
      <c r="K18" s="1112">
        <f t="shared" si="5"/>
        <v>10520</v>
      </c>
      <c r="L18" s="1167">
        <f t="shared" si="6"/>
        <v>0.1586009347203377</v>
      </c>
      <c r="M18" s="1112">
        <v>66330</v>
      </c>
      <c r="N18" s="1167">
        <f>M18/M21</f>
        <v>0.1797673025689948</v>
      </c>
      <c r="O18" s="1110">
        <f t="shared" si="0"/>
        <v>419.1345223282179</v>
      </c>
      <c r="P18" s="1168">
        <f t="shared" si="1"/>
        <v>145.44449052951748</v>
      </c>
      <c r="Q18" s="200"/>
    </row>
    <row r="19" spans="1:17" ht="12.75">
      <c r="A19" s="203" t="s">
        <v>189</v>
      </c>
      <c r="B19" s="1110">
        <v>106</v>
      </c>
      <c r="C19" s="1111">
        <v>54997</v>
      </c>
      <c r="D19" s="1111">
        <f t="shared" si="2"/>
        <v>518.8396226415094</v>
      </c>
      <c r="E19" s="1111">
        <v>7125</v>
      </c>
      <c r="F19" s="1167">
        <f t="shared" si="3"/>
        <v>0.1293455568666606</v>
      </c>
      <c r="G19" s="1112">
        <v>47960</v>
      </c>
      <c r="H19" s="1112">
        <f>21347800+1977020</f>
        <v>23324820</v>
      </c>
      <c r="I19" s="1112">
        <v>45754</v>
      </c>
      <c r="J19" s="1167">
        <f t="shared" si="4"/>
        <v>0.8306072433511845</v>
      </c>
      <c r="K19" s="1112">
        <f t="shared" si="5"/>
        <v>2206</v>
      </c>
      <c r="L19" s="1167">
        <f t="shared" si="6"/>
        <v>0.04004719978215485</v>
      </c>
      <c r="M19" s="1112">
        <v>55085</v>
      </c>
      <c r="N19" s="1167">
        <f>M19/M21</f>
        <v>0.1492911482287514</v>
      </c>
      <c r="O19" s="1110">
        <f t="shared" si="0"/>
        <v>431.64150943396226</v>
      </c>
      <c r="P19" s="1168">
        <f t="shared" si="1"/>
        <v>20.81132075471698</v>
      </c>
      <c r="Q19" s="200"/>
    </row>
    <row r="20" spans="1:17" ht="12.75">
      <c r="A20" s="203" t="s">
        <v>190</v>
      </c>
      <c r="B20" s="1110">
        <v>22</v>
      </c>
      <c r="C20" s="1111">
        <v>14333</v>
      </c>
      <c r="D20" s="1111">
        <f t="shared" si="2"/>
        <v>651.5</v>
      </c>
      <c r="E20" s="1111">
        <v>1382</v>
      </c>
      <c r="F20" s="1167">
        <f t="shared" si="3"/>
        <v>0.09606561935214793</v>
      </c>
      <c r="G20" s="1112">
        <v>13004</v>
      </c>
      <c r="H20" s="1112">
        <f>4778333+306000</f>
        <v>5084333</v>
      </c>
      <c r="I20" s="1112">
        <v>9460</v>
      </c>
      <c r="J20" s="1167">
        <f t="shared" si="4"/>
        <v>0.6575837619908245</v>
      </c>
      <c r="K20" s="1112">
        <f t="shared" si="5"/>
        <v>3544</v>
      </c>
      <c r="L20" s="1167">
        <f t="shared" si="6"/>
        <v>0.24635061865702768</v>
      </c>
      <c r="M20" s="1112">
        <v>14386</v>
      </c>
      <c r="N20" s="1167">
        <f>M20/M21</f>
        <v>0.038988880065695154</v>
      </c>
      <c r="O20" s="1110">
        <f t="shared" si="0"/>
        <v>430</v>
      </c>
      <c r="P20" s="1168">
        <f t="shared" si="1"/>
        <v>161.0909090909091</v>
      </c>
      <c r="Q20" s="200"/>
    </row>
    <row r="21" spans="1:17" ht="12.75">
      <c r="A21" s="1169" t="s">
        <v>996</v>
      </c>
      <c r="B21" s="1113">
        <f>SUM(B14:B20)</f>
        <v>605</v>
      </c>
      <c r="C21" s="1114">
        <f>SUM(C14:C20)</f>
        <v>365415</v>
      </c>
      <c r="D21" s="1146">
        <f>C21/B21</f>
        <v>603.99173553719</v>
      </c>
      <c r="E21" s="1146">
        <f>SUM(E14:E20)</f>
        <v>68802</v>
      </c>
      <c r="F21" s="1170">
        <f t="shared" si="3"/>
        <v>0.18646690715139427</v>
      </c>
      <c r="G21" s="1116">
        <f>SUM(G14:G20)</f>
        <v>300175</v>
      </c>
      <c r="H21" s="1115">
        <f>SUM(H14:H20)</f>
        <v>125055016</v>
      </c>
      <c r="I21" s="1116">
        <f>SUM(I14:I20)</f>
        <v>256057</v>
      </c>
      <c r="J21" s="1170">
        <f t="shared" si="4"/>
        <v>0.6939646644641807</v>
      </c>
      <c r="K21" s="1116">
        <f>SUM(K14:K20)</f>
        <v>44118</v>
      </c>
      <c r="L21" s="1170">
        <v>0.1195</v>
      </c>
      <c r="M21" s="1116">
        <f>SUM(M14:M20)</f>
        <v>368977</v>
      </c>
      <c r="N21" s="1170">
        <f>SUM(N14:N20)</f>
        <v>0.9999999999999999</v>
      </c>
      <c r="O21" s="1171">
        <f t="shared" si="0"/>
        <v>423.23471074380166</v>
      </c>
      <c r="P21" s="1172">
        <f t="shared" si="1"/>
        <v>72.92231404958677</v>
      </c>
      <c r="Q21" s="200"/>
    </row>
    <row r="22" spans="1:17" ht="12.75">
      <c r="A22" s="203"/>
      <c r="B22" s="1110"/>
      <c r="C22" s="405"/>
      <c r="D22" s="1113"/>
      <c r="E22" s="1111"/>
      <c r="F22" s="1173"/>
      <c r="G22" s="1112"/>
      <c r="H22" s="1117"/>
      <c r="I22" s="1112"/>
      <c r="J22" s="1173"/>
      <c r="K22" s="1112"/>
      <c r="L22" s="1173"/>
      <c r="M22" s="1112"/>
      <c r="N22" s="1174"/>
      <c r="O22" s="1110"/>
      <c r="P22" s="1168"/>
      <c r="Q22" s="200"/>
    </row>
    <row r="23" spans="1:17" ht="12.75">
      <c r="A23" s="1169" t="s">
        <v>517</v>
      </c>
      <c r="B23" s="1113">
        <v>54.97</v>
      </c>
      <c r="C23" s="1114">
        <v>93990</v>
      </c>
      <c r="D23" s="1146">
        <f>C23/B23</f>
        <v>1709.8417318537383</v>
      </c>
      <c r="E23" s="1146">
        <v>24009</v>
      </c>
      <c r="F23" s="1170">
        <f>E23/M23</f>
        <v>0.25451056882990225</v>
      </c>
      <c r="G23" s="1116">
        <v>70325</v>
      </c>
      <c r="H23" s="1116">
        <f>29408832+672760</f>
        <v>30081592</v>
      </c>
      <c r="I23" s="1116">
        <v>28490</v>
      </c>
      <c r="J23" s="1170">
        <f>I23/M23</f>
        <v>0.30201199991519495</v>
      </c>
      <c r="K23" s="1116">
        <f>M23-E23-I23</f>
        <v>41835</v>
      </c>
      <c r="L23" s="1170">
        <f>K23/M23</f>
        <v>0.4434774312549028</v>
      </c>
      <c r="M23" s="1116">
        <v>94334</v>
      </c>
      <c r="N23" s="1170">
        <v>1</v>
      </c>
      <c r="O23" s="1171">
        <f>I23/B23</f>
        <v>518.282699654357</v>
      </c>
      <c r="P23" s="1172">
        <f>K23/B23</f>
        <v>761.0514826268874</v>
      </c>
      <c r="Q23" s="200"/>
    </row>
    <row r="24" spans="1:17" ht="12.75">
      <c r="A24" s="203"/>
      <c r="B24" s="1110"/>
      <c r="C24" s="405"/>
      <c r="D24" s="1113"/>
      <c r="E24" s="1111"/>
      <c r="F24" s="1173"/>
      <c r="G24" s="1112"/>
      <c r="H24" s="1117"/>
      <c r="I24" s="1112"/>
      <c r="J24" s="1173"/>
      <c r="K24" s="1112"/>
      <c r="L24" s="1173"/>
      <c r="M24" s="1112"/>
      <c r="N24" s="1174"/>
      <c r="O24" s="1110"/>
      <c r="P24" s="1168"/>
      <c r="Q24" s="200"/>
    </row>
    <row r="25" spans="1:17" ht="12.75">
      <c r="A25" s="1169"/>
      <c r="B25" s="1113"/>
      <c r="C25" s="1114"/>
      <c r="D25" s="1111"/>
      <c r="E25" s="1111"/>
      <c r="F25" s="1173"/>
      <c r="G25" s="1112"/>
      <c r="H25" s="1115"/>
      <c r="I25" s="1112"/>
      <c r="J25" s="1173"/>
      <c r="K25" s="1112"/>
      <c r="L25" s="1173"/>
      <c r="M25" s="1112"/>
      <c r="N25" s="1174"/>
      <c r="O25" s="1110"/>
      <c r="P25" s="1168"/>
      <c r="Q25" s="200"/>
    </row>
    <row r="26" spans="1:17" ht="12.75">
      <c r="A26" s="1169" t="s">
        <v>997</v>
      </c>
      <c r="B26" s="1113">
        <v>35.28</v>
      </c>
      <c r="C26" s="1114">
        <v>87033</v>
      </c>
      <c r="D26" s="1146">
        <f>C26/B26</f>
        <v>2466.921768707483</v>
      </c>
      <c r="E26" s="1146">
        <v>10614</v>
      </c>
      <c r="F26" s="1170">
        <f>E26/M26</f>
        <v>0.12132642913480333</v>
      </c>
      <c r="G26" s="1116">
        <v>76869</v>
      </c>
      <c r="H26" s="1116">
        <f>80226733+16400</f>
        <v>80243133</v>
      </c>
      <c r="I26" s="1116">
        <v>59797</v>
      </c>
      <c r="J26" s="1170">
        <f>I26/M26</f>
        <v>0.6835270852622796</v>
      </c>
      <c r="K26" s="1116">
        <f>M26-E26-I26</f>
        <v>17072</v>
      </c>
      <c r="L26" s="1170">
        <v>0.1952</v>
      </c>
      <c r="M26" s="1116">
        <v>87483</v>
      </c>
      <c r="N26" s="1170">
        <v>1</v>
      </c>
      <c r="O26" s="1171">
        <f>I26/B26</f>
        <v>1694.9263038548752</v>
      </c>
      <c r="P26" s="1172">
        <f>K26/B26</f>
        <v>483.9002267573696</v>
      </c>
      <c r="Q26" s="200"/>
    </row>
    <row r="27" spans="1:17" ht="12.75">
      <c r="A27" s="1169"/>
      <c r="B27" s="1113"/>
      <c r="C27" s="1175"/>
      <c r="D27" s="1113"/>
      <c r="E27" s="1114"/>
      <c r="F27" s="1118"/>
      <c r="G27" s="1115"/>
      <c r="H27" s="1176"/>
      <c r="I27" s="1115"/>
      <c r="J27" s="1118"/>
      <c r="K27" s="1112"/>
      <c r="L27" s="1118"/>
      <c r="M27" s="1115"/>
      <c r="N27" s="1177"/>
      <c r="O27" s="1110"/>
      <c r="P27" s="1168"/>
      <c r="Q27" s="200"/>
    </row>
    <row r="28" spans="1:17" ht="14.25" thickBot="1">
      <c r="A28" s="1178" t="s">
        <v>141</v>
      </c>
      <c r="B28" s="1179">
        <f>SUM(B21:B27)</f>
        <v>695.25</v>
      </c>
      <c r="C28" s="1180">
        <f>C21+C23+C26</f>
        <v>546438</v>
      </c>
      <c r="D28" s="1180">
        <f>C28/B28</f>
        <v>785.9590075512406</v>
      </c>
      <c r="E28" s="1180">
        <f>E21+E23+E26</f>
        <v>103425</v>
      </c>
      <c r="F28" s="1181"/>
      <c r="G28" s="1182">
        <f>G21+G23+G26</f>
        <v>447369</v>
      </c>
      <c r="H28" s="1182" t="e">
        <f>H21+H23+#REF!+H26</f>
        <v>#REF!</v>
      </c>
      <c r="I28" s="1182">
        <f>I21+I23+I26</f>
        <v>344344</v>
      </c>
      <c r="J28" s="1181"/>
      <c r="K28" s="1182">
        <f>K21+K23+K26</f>
        <v>103025</v>
      </c>
      <c r="L28" s="1181"/>
      <c r="M28" s="1182">
        <f>M21+M23+M26</f>
        <v>550794</v>
      </c>
      <c r="N28" s="1183"/>
      <c r="O28" s="1179"/>
      <c r="P28" s="1184"/>
      <c r="Q28" s="200"/>
    </row>
    <row r="29" ht="12.75">
      <c r="P29" s="1119"/>
    </row>
    <row r="30" spans="1:16" ht="15">
      <c r="A30" s="187"/>
      <c r="B30" s="1120"/>
      <c r="C30" s="1121"/>
      <c r="D30" s="1121"/>
      <c r="E30" s="1121"/>
      <c r="F30" s="1122"/>
      <c r="G30" s="1123"/>
      <c r="H30" s="1122"/>
      <c r="I30" s="1123"/>
      <c r="J30" s="1122"/>
      <c r="K30" s="1122"/>
      <c r="L30" s="1122"/>
      <c r="M30" s="1123"/>
      <c r="N30" s="1121"/>
      <c r="O30" s="1121"/>
      <c r="P30" s="1124"/>
    </row>
    <row r="31" spans="1:16" ht="15">
      <c r="A31" s="1574"/>
      <c r="B31" s="1575"/>
      <c r="C31" s="1575"/>
      <c r="D31" s="1575"/>
      <c r="E31" s="1575"/>
      <c r="F31" s="1575"/>
      <c r="G31" s="1575"/>
      <c r="H31" s="1575"/>
      <c r="I31" s="1575"/>
      <c r="J31" s="1575"/>
      <c r="K31" s="1575"/>
      <c r="L31" s="1575"/>
      <c r="M31" s="1575"/>
      <c r="N31" s="1575"/>
      <c r="O31" s="1575"/>
      <c r="P31" s="1575"/>
    </row>
  </sheetData>
  <sheetProtection/>
  <mergeCells count="26">
    <mergeCell ref="L12:L13"/>
    <mergeCell ref="M12:M13"/>
    <mergeCell ref="N12:N13"/>
    <mergeCell ref="O12:O13"/>
    <mergeCell ref="P12:P13"/>
    <mergeCell ref="A31:P31"/>
    <mergeCell ref="M10:N11"/>
    <mergeCell ref="O10:O11"/>
    <mergeCell ref="P10:P11"/>
    <mergeCell ref="E12:E13"/>
    <mergeCell ref="F12:F13"/>
    <mergeCell ref="G12:G13"/>
    <mergeCell ref="H12:H13"/>
    <mergeCell ref="I12:I13"/>
    <mergeCell ref="J12:J13"/>
    <mergeCell ref="K12:K13"/>
    <mergeCell ref="A5:P5"/>
    <mergeCell ref="A10:A13"/>
    <mergeCell ref="B10:B13"/>
    <mergeCell ref="C10:C13"/>
    <mergeCell ref="D10:D13"/>
    <mergeCell ref="E10:F11"/>
    <mergeCell ref="G10:G11"/>
    <mergeCell ref="H10:H11"/>
    <mergeCell ref="I10:J11"/>
    <mergeCell ref="K10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&amp;L18. melléklet a 8/2014.(V.5.)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9"/>
  <sheetViews>
    <sheetView view="pageLayout" workbookViewId="0" topLeftCell="A1">
      <selection activeCell="A3" sqref="A3:H3"/>
    </sheetView>
  </sheetViews>
  <sheetFormatPr defaultColWidth="9.00390625" defaultRowHeight="12.75"/>
  <cols>
    <col min="1" max="1" width="3.875" style="874" customWidth="1"/>
    <col min="2" max="2" width="33.125" style="874" bestFit="1" customWidth="1"/>
    <col min="3" max="3" width="11.125" style="874" customWidth="1"/>
    <col min="4" max="4" width="9.125" style="874" customWidth="1"/>
    <col min="5" max="5" width="12.375" style="874" customWidth="1"/>
    <col min="6" max="6" width="11.875" style="874" customWidth="1"/>
    <col min="7" max="7" width="11.625" style="874" customWidth="1"/>
    <col min="8" max="8" width="10.00390625" style="874" customWidth="1"/>
    <col min="9" max="16384" width="9.125" style="874" customWidth="1"/>
  </cols>
  <sheetData>
    <row r="1" spans="1:8" ht="12.75">
      <c r="A1" s="871"/>
      <c r="B1" s="872"/>
      <c r="C1" s="873"/>
      <c r="D1" s="873"/>
      <c r="E1" s="873"/>
      <c r="F1" s="873"/>
      <c r="G1" s="873"/>
      <c r="H1" s="873"/>
    </row>
    <row r="2" spans="1:8" ht="12.75">
      <c r="A2" s="1577" t="s">
        <v>998</v>
      </c>
      <c r="B2" s="1577"/>
      <c r="C2" s="1577"/>
      <c r="D2" s="1577"/>
      <c r="E2" s="1577"/>
      <c r="F2" s="1577"/>
      <c r="G2" s="1577"/>
      <c r="H2" s="1577"/>
    </row>
    <row r="3" spans="1:8" ht="12.75">
      <c r="A3" s="1577" t="s">
        <v>1042</v>
      </c>
      <c r="B3" s="1577"/>
      <c r="C3" s="1577"/>
      <c r="D3" s="1577"/>
      <c r="E3" s="1577"/>
      <c r="F3" s="1577"/>
      <c r="G3" s="1577"/>
      <c r="H3" s="1577"/>
    </row>
    <row r="4" spans="1:8" ht="15.75">
      <c r="A4" s="1576" t="s">
        <v>999</v>
      </c>
      <c r="B4" s="1576"/>
      <c r="C4" s="1576"/>
      <c r="D4" s="1576"/>
      <c r="E4" s="1576"/>
      <c r="F4" s="1576"/>
      <c r="G4" s="1576"/>
      <c r="H4" s="1576"/>
    </row>
    <row r="5" spans="1:8" ht="15.75">
      <c r="A5" s="875"/>
      <c r="B5" s="875"/>
      <c r="C5" s="875"/>
      <c r="D5" s="875"/>
      <c r="E5" s="875"/>
      <c r="F5" s="875"/>
      <c r="G5" s="875"/>
      <c r="H5" s="875"/>
    </row>
    <row r="6" spans="1:8" ht="16.5" thickBot="1">
      <c r="A6" s="876"/>
      <c r="B6" s="877"/>
      <c r="C6" s="878"/>
      <c r="D6" s="878"/>
      <c r="E6" s="878"/>
      <c r="F6" s="878"/>
      <c r="G6" s="878"/>
      <c r="H6" s="879" t="s">
        <v>35</v>
      </c>
    </row>
    <row r="7" spans="1:8" ht="51.75" thickBot="1">
      <c r="A7" s="1578" t="s">
        <v>999</v>
      </c>
      <c r="B7" s="1579"/>
      <c r="C7" s="881" t="s">
        <v>1000</v>
      </c>
      <c r="D7" s="881" t="s">
        <v>1001</v>
      </c>
      <c r="E7" s="881" t="s">
        <v>1002</v>
      </c>
      <c r="F7" s="881" t="s">
        <v>1003</v>
      </c>
      <c r="G7" s="881" t="s">
        <v>1004</v>
      </c>
      <c r="H7" s="882" t="s">
        <v>1005</v>
      </c>
    </row>
    <row r="8" spans="1:8" s="888" customFormat="1" ht="12.75">
      <c r="A8" s="883" t="s">
        <v>1006</v>
      </c>
      <c r="B8" s="884" t="s">
        <v>1007</v>
      </c>
      <c r="C8" s="885">
        <f>SUM(C9:C12)</f>
        <v>16899325</v>
      </c>
      <c r="D8" s="885"/>
      <c r="E8" s="946">
        <f>SUM(E9:E12)</f>
        <v>16899325</v>
      </c>
      <c r="F8" s="911">
        <f>SUM(F9:F12)</f>
        <v>17109130</v>
      </c>
      <c r="G8" s="885"/>
      <c r="H8" s="887">
        <f>SUM(H9:H12)</f>
        <v>17109130</v>
      </c>
    </row>
    <row r="9" spans="1:8" ht="12.75">
      <c r="A9" s="889" t="s">
        <v>1008</v>
      </c>
      <c r="B9" s="890" t="s">
        <v>1009</v>
      </c>
      <c r="C9" s="891">
        <v>15151</v>
      </c>
      <c r="D9" s="891"/>
      <c r="E9" s="892">
        <v>15151</v>
      </c>
      <c r="F9" s="912">
        <v>11811</v>
      </c>
      <c r="G9" s="891"/>
      <c r="H9" s="893">
        <f>F9</f>
        <v>11811</v>
      </c>
    </row>
    <row r="10" spans="1:8" ht="12.75">
      <c r="A10" s="889" t="s">
        <v>1010</v>
      </c>
      <c r="B10" s="890" t="s">
        <v>1011</v>
      </c>
      <c r="C10" s="891">
        <v>11879480</v>
      </c>
      <c r="D10" s="891"/>
      <c r="E10" s="892">
        <v>11879480</v>
      </c>
      <c r="F10" s="912">
        <v>12064590</v>
      </c>
      <c r="G10" s="891"/>
      <c r="H10" s="893">
        <f>F10</f>
        <v>12064590</v>
      </c>
    </row>
    <row r="11" spans="1:8" ht="12.75">
      <c r="A11" s="889" t="s">
        <v>1012</v>
      </c>
      <c r="B11" s="890" t="s">
        <v>1013</v>
      </c>
      <c r="C11" s="891">
        <v>402264</v>
      </c>
      <c r="D11" s="891"/>
      <c r="E11" s="892">
        <v>402264</v>
      </c>
      <c r="F11" s="912">
        <v>450284</v>
      </c>
      <c r="G11" s="891"/>
      <c r="H11" s="893">
        <f>F11</f>
        <v>450284</v>
      </c>
    </row>
    <row r="12" spans="1:8" ht="12.75">
      <c r="A12" s="889" t="s">
        <v>853</v>
      </c>
      <c r="B12" s="890" t="s">
        <v>1014</v>
      </c>
      <c r="C12" s="891">
        <v>4602430</v>
      </c>
      <c r="D12" s="891"/>
      <c r="E12" s="892">
        <v>4602430</v>
      </c>
      <c r="F12" s="912">
        <v>4582445</v>
      </c>
      <c r="G12" s="891"/>
      <c r="H12" s="893">
        <f>F12</f>
        <v>4582445</v>
      </c>
    </row>
    <row r="13" spans="1:8" ht="12.75">
      <c r="A13" s="889"/>
      <c r="B13" s="890"/>
      <c r="C13" s="891"/>
      <c r="D13" s="891"/>
      <c r="E13" s="892"/>
      <c r="F13" s="912"/>
      <c r="G13" s="891"/>
      <c r="H13" s="893"/>
    </row>
    <row r="14" spans="1:8" s="888" customFormat="1" ht="12.75">
      <c r="A14" s="894" t="s">
        <v>1015</v>
      </c>
      <c r="B14" s="895" t="s">
        <v>1016</v>
      </c>
      <c r="C14" s="896">
        <f>SUM(C15:C19)</f>
        <v>1619530</v>
      </c>
      <c r="D14" s="896"/>
      <c r="E14" s="897">
        <f>SUM(E15:E19)</f>
        <v>1619530</v>
      </c>
      <c r="F14" s="913">
        <f>SUM(F15:F19)</f>
        <v>1411869</v>
      </c>
      <c r="G14" s="896"/>
      <c r="H14" s="898">
        <f aca="true" t="shared" si="0" ref="H14:H19">F14</f>
        <v>1411869</v>
      </c>
    </row>
    <row r="15" spans="1:8" ht="12.75">
      <c r="A15" s="889" t="s">
        <v>1008</v>
      </c>
      <c r="B15" s="890" t="s">
        <v>1017</v>
      </c>
      <c r="C15" s="891">
        <v>9690</v>
      </c>
      <c r="D15" s="891"/>
      <c r="E15" s="892">
        <f>SUM(C15)</f>
        <v>9690</v>
      </c>
      <c r="F15" s="912">
        <v>9272</v>
      </c>
      <c r="G15" s="891"/>
      <c r="H15" s="893">
        <f t="shared" si="0"/>
        <v>9272</v>
      </c>
    </row>
    <row r="16" spans="1:8" ht="12.75">
      <c r="A16" s="889" t="s">
        <v>1010</v>
      </c>
      <c r="B16" s="890" t="s">
        <v>1018</v>
      </c>
      <c r="C16" s="891">
        <v>735969</v>
      </c>
      <c r="D16" s="891"/>
      <c r="E16" s="892">
        <f>SUM(C16)</f>
        <v>735969</v>
      </c>
      <c r="F16" s="912">
        <v>798846</v>
      </c>
      <c r="G16" s="891"/>
      <c r="H16" s="893">
        <f t="shared" si="0"/>
        <v>798846</v>
      </c>
    </row>
    <row r="17" spans="1:8" ht="12.75">
      <c r="A17" s="889" t="s">
        <v>1012</v>
      </c>
      <c r="B17" s="890" t="s">
        <v>1019</v>
      </c>
      <c r="C17" s="891">
        <v>0</v>
      </c>
      <c r="D17" s="891"/>
      <c r="E17" s="892">
        <f>SUM(C17)</f>
        <v>0</v>
      </c>
      <c r="F17" s="912">
        <v>0</v>
      </c>
      <c r="G17" s="891"/>
      <c r="H17" s="893">
        <f t="shared" si="0"/>
        <v>0</v>
      </c>
    </row>
    <row r="18" spans="1:8" ht="12.75">
      <c r="A18" s="889" t="s">
        <v>853</v>
      </c>
      <c r="B18" s="890" t="s">
        <v>1020</v>
      </c>
      <c r="C18" s="891">
        <v>820110</v>
      </c>
      <c r="D18" s="891"/>
      <c r="E18" s="892">
        <f>SUM(C18)</f>
        <v>820110</v>
      </c>
      <c r="F18" s="912">
        <v>512294</v>
      </c>
      <c r="G18" s="891"/>
      <c r="H18" s="893">
        <f t="shared" si="0"/>
        <v>512294</v>
      </c>
    </row>
    <row r="19" spans="1:8" ht="12.75">
      <c r="A19" s="889" t="s">
        <v>1021</v>
      </c>
      <c r="B19" s="890" t="s">
        <v>1022</v>
      </c>
      <c r="C19" s="891">
        <v>53761</v>
      </c>
      <c r="D19" s="891"/>
      <c r="E19" s="892">
        <f>SUM(C19)</f>
        <v>53761</v>
      </c>
      <c r="F19" s="912">
        <v>91457</v>
      </c>
      <c r="G19" s="891"/>
      <c r="H19" s="893">
        <f t="shared" si="0"/>
        <v>91457</v>
      </c>
    </row>
    <row r="20" spans="1:8" ht="12.75">
      <c r="A20" s="889"/>
      <c r="B20" s="890"/>
      <c r="C20" s="891"/>
      <c r="D20" s="891"/>
      <c r="E20" s="892"/>
      <c r="F20" s="912"/>
      <c r="G20" s="891"/>
      <c r="H20" s="893"/>
    </row>
    <row r="21" spans="1:8" s="904" customFormat="1" ht="13.5" thickBot="1">
      <c r="A21" s="899" t="s">
        <v>1023</v>
      </c>
      <c r="B21" s="900"/>
      <c r="C21" s="901">
        <f>SUM(C8+C14)</f>
        <v>18518855</v>
      </c>
      <c r="D21" s="901"/>
      <c r="E21" s="902">
        <f>SUM(E8+E14)</f>
        <v>18518855</v>
      </c>
      <c r="F21" s="901">
        <f>SUM(F8+F14)</f>
        <v>18520999</v>
      </c>
      <c r="G21" s="901"/>
      <c r="H21" s="903">
        <f>SUM(H8+H14)</f>
        <v>18520999</v>
      </c>
    </row>
    <row r="22" spans="1:8" ht="12.75">
      <c r="A22" s="905"/>
      <c r="B22" s="905"/>
      <c r="C22" s="906"/>
      <c r="D22" s="906"/>
      <c r="E22" s="906"/>
      <c r="F22" s="906"/>
      <c r="G22" s="906"/>
      <c r="H22" s="906"/>
    </row>
    <row r="23" spans="1:8" ht="12.75">
      <c r="A23" s="905"/>
      <c r="B23" s="905"/>
      <c r="C23" s="906"/>
      <c r="D23" s="906"/>
      <c r="E23" s="906"/>
      <c r="F23" s="906"/>
      <c r="G23" s="906"/>
      <c r="H23" s="906"/>
    </row>
    <row r="24" spans="1:8" ht="12.75">
      <c r="A24" s="905"/>
      <c r="B24" s="905"/>
      <c r="C24" s="906"/>
      <c r="D24" s="906"/>
      <c r="E24" s="906"/>
      <c r="F24" s="906"/>
      <c r="G24" s="906"/>
      <c r="H24" s="906"/>
    </row>
    <row r="25" spans="1:8" ht="12.75">
      <c r="A25" s="907"/>
      <c r="B25" s="908"/>
      <c r="C25" s="909"/>
      <c r="D25" s="909"/>
      <c r="E25" s="909"/>
      <c r="F25" s="909"/>
      <c r="G25" s="909"/>
      <c r="H25" s="909"/>
    </row>
    <row r="26" spans="1:8" ht="12.75">
      <c r="A26" s="1577" t="s">
        <v>998</v>
      </c>
      <c r="B26" s="1577"/>
      <c r="C26" s="1577"/>
      <c r="D26" s="1577"/>
      <c r="E26" s="1577"/>
      <c r="F26" s="1577"/>
      <c r="G26" s="1577"/>
      <c r="H26" s="1577"/>
    </row>
    <row r="27" spans="1:8" ht="12.75">
      <c r="A27" s="1577" t="s">
        <v>1042</v>
      </c>
      <c r="B27" s="1577"/>
      <c r="C27" s="1577"/>
      <c r="D27" s="1577"/>
      <c r="E27" s="1577"/>
      <c r="F27" s="1577"/>
      <c r="G27" s="1577"/>
      <c r="H27" s="1577"/>
    </row>
    <row r="28" spans="1:8" ht="15.75">
      <c r="A28" s="1576" t="s">
        <v>1024</v>
      </c>
      <c r="B28" s="1576"/>
      <c r="C28" s="1576"/>
      <c r="D28" s="1576"/>
      <c r="E28" s="1576"/>
      <c r="F28" s="1576"/>
      <c r="G28" s="1576"/>
      <c r="H28" s="1576"/>
    </row>
    <row r="29" ht="13.5" thickBot="1">
      <c r="H29" s="879" t="s">
        <v>35</v>
      </c>
    </row>
    <row r="30" spans="1:8" ht="51.75" thickBot="1">
      <c r="A30" s="880" t="s">
        <v>1024</v>
      </c>
      <c r="B30" s="910"/>
      <c r="C30" s="881" t="s">
        <v>1000</v>
      </c>
      <c r="D30" s="881" t="s">
        <v>1001</v>
      </c>
      <c r="E30" s="881" t="s">
        <v>1002</v>
      </c>
      <c r="F30" s="881" t="s">
        <v>1003</v>
      </c>
      <c r="G30" s="881" t="s">
        <v>1004</v>
      </c>
      <c r="H30" s="882" t="s">
        <v>1005</v>
      </c>
    </row>
    <row r="31" spans="1:8" s="888" customFormat="1" ht="12.75">
      <c r="A31" s="883" t="s">
        <v>1025</v>
      </c>
      <c r="B31" s="884" t="s">
        <v>1133</v>
      </c>
      <c r="C31" s="885">
        <f>SUM(C32:C34)</f>
        <v>11807096</v>
      </c>
      <c r="D31" s="911"/>
      <c r="E31" s="886">
        <f>SUM(E32:E34)</f>
        <v>11807096</v>
      </c>
      <c r="F31" s="885">
        <f>SUM(F32:F33)</f>
        <v>14831122</v>
      </c>
      <c r="G31" s="911"/>
      <c r="H31" s="887">
        <f>SUM(H32:H33)</f>
        <v>14831122</v>
      </c>
    </row>
    <row r="32" spans="1:8" ht="12.75">
      <c r="A32" s="889" t="s">
        <v>1026</v>
      </c>
      <c r="B32" s="890" t="s">
        <v>1027</v>
      </c>
      <c r="C32" s="891">
        <v>9701413</v>
      </c>
      <c r="D32" s="912"/>
      <c r="E32" s="892">
        <f>SUM(C32)</f>
        <v>9701413</v>
      </c>
      <c r="F32" s="891">
        <v>9701414</v>
      </c>
      <c r="G32" s="912"/>
      <c r="H32" s="893">
        <f>SUM(F32)</f>
        <v>9701414</v>
      </c>
    </row>
    <row r="33" spans="1:8" ht="12.75">
      <c r="A33" s="889" t="s">
        <v>1028</v>
      </c>
      <c r="B33" s="890" t="s">
        <v>1029</v>
      </c>
      <c r="C33" s="891">
        <v>2105683</v>
      </c>
      <c r="D33" s="912"/>
      <c r="E33" s="892">
        <f>SUM(C33)</f>
        <v>2105683</v>
      </c>
      <c r="F33" s="891">
        <v>5129708</v>
      </c>
      <c r="G33" s="912"/>
      <c r="H33" s="893">
        <f>SUM(F33)</f>
        <v>5129708</v>
      </c>
    </row>
    <row r="34" spans="1:8" ht="12.75">
      <c r="A34" s="889" t="s">
        <v>1030</v>
      </c>
      <c r="B34" s="890" t="s">
        <v>1031</v>
      </c>
      <c r="C34" s="891">
        <v>0</v>
      </c>
      <c r="D34" s="912"/>
      <c r="E34" s="892">
        <f>SUM(C34)</f>
        <v>0</v>
      </c>
      <c r="F34" s="891">
        <v>0</v>
      </c>
      <c r="G34" s="912"/>
      <c r="H34" s="893">
        <v>0</v>
      </c>
    </row>
    <row r="35" spans="1:8" ht="12.75">
      <c r="A35" s="889"/>
      <c r="B35" s="890"/>
      <c r="C35" s="891"/>
      <c r="D35" s="912"/>
      <c r="E35" s="892"/>
      <c r="F35" s="891"/>
      <c r="G35" s="912"/>
      <c r="H35" s="893"/>
    </row>
    <row r="36" spans="1:8" s="888" customFormat="1" ht="12.75">
      <c r="A36" s="894" t="s">
        <v>1032</v>
      </c>
      <c r="B36" s="895" t="s">
        <v>1033</v>
      </c>
      <c r="C36" s="896">
        <f>SUM(C37:C38)</f>
        <v>822507</v>
      </c>
      <c r="D36" s="896"/>
      <c r="E36" s="897">
        <f>SUM(E37:E38)</f>
        <v>822507</v>
      </c>
      <c r="F36" s="896">
        <f>SUM(F37:F38)</f>
        <v>532209</v>
      </c>
      <c r="G36" s="896"/>
      <c r="H36" s="898">
        <f>SUM(H37:H38)</f>
        <v>532209</v>
      </c>
    </row>
    <row r="37" spans="1:8" ht="12.75">
      <c r="A37" s="889" t="s">
        <v>1008</v>
      </c>
      <c r="B37" s="890" t="s">
        <v>1034</v>
      </c>
      <c r="C37" s="891">
        <v>822507</v>
      </c>
      <c r="D37" s="912"/>
      <c r="E37" s="892">
        <f>SUM(C37)</f>
        <v>822507</v>
      </c>
      <c r="F37" s="891">
        <v>532209</v>
      </c>
      <c r="G37" s="912"/>
      <c r="H37" s="893">
        <f>SUM(F37)</f>
        <v>532209</v>
      </c>
    </row>
    <row r="38" spans="1:8" ht="12.75">
      <c r="A38" s="889" t="s">
        <v>1035</v>
      </c>
      <c r="B38" s="890" t="s">
        <v>1036</v>
      </c>
      <c r="C38" s="891">
        <v>0</v>
      </c>
      <c r="D38" s="912"/>
      <c r="E38" s="892">
        <f>SUM(C38)</f>
        <v>0</v>
      </c>
      <c r="F38" s="891">
        <v>0</v>
      </c>
      <c r="G38" s="912"/>
      <c r="H38" s="893">
        <f>SUM(F38)</f>
        <v>0</v>
      </c>
    </row>
    <row r="39" spans="1:8" ht="12.75">
      <c r="A39" s="889"/>
      <c r="B39" s="890"/>
      <c r="C39" s="891"/>
      <c r="D39" s="912"/>
      <c r="E39" s="892"/>
      <c r="F39" s="891"/>
      <c r="G39" s="912"/>
      <c r="H39" s="893"/>
    </row>
    <row r="40" spans="1:8" s="888" customFormat="1" ht="12.75">
      <c r="A40" s="894" t="s">
        <v>1037</v>
      </c>
      <c r="B40" s="895" t="s">
        <v>1038</v>
      </c>
      <c r="C40" s="896">
        <f>SUM(C41:C43)</f>
        <v>5889252</v>
      </c>
      <c r="D40" s="913"/>
      <c r="E40" s="897">
        <f>SUM(E41:E43)</f>
        <v>5889252</v>
      </c>
      <c r="F40" s="896">
        <f>SUM(F41:F43)</f>
        <v>3157668</v>
      </c>
      <c r="G40" s="913"/>
      <c r="H40" s="898">
        <f>SUM(H41:H43)</f>
        <v>3157668</v>
      </c>
    </row>
    <row r="41" spans="1:8" ht="12.75">
      <c r="A41" s="889" t="s">
        <v>1008</v>
      </c>
      <c r="B41" s="890" t="s">
        <v>965</v>
      </c>
      <c r="C41" s="891">
        <v>5253754</v>
      </c>
      <c r="D41" s="912"/>
      <c r="E41" s="892">
        <f>SUM(C41)</f>
        <v>5253754</v>
      </c>
      <c r="F41" s="891">
        <v>46797</v>
      </c>
      <c r="G41" s="912"/>
      <c r="H41" s="893">
        <f>SUM(F41)</f>
        <v>46797</v>
      </c>
    </row>
    <row r="42" spans="1:8" ht="12.75">
      <c r="A42" s="889" t="s">
        <v>1010</v>
      </c>
      <c r="B42" s="890" t="s">
        <v>1039</v>
      </c>
      <c r="C42" s="891">
        <v>584134</v>
      </c>
      <c r="D42" s="912"/>
      <c r="E42" s="892">
        <f>SUM(C42)</f>
        <v>584134</v>
      </c>
      <c r="F42" s="891">
        <v>3039329</v>
      </c>
      <c r="G42" s="912"/>
      <c r="H42" s="893">
        <f>SUM(F42)</f>
        <v>3039329</v>
      </c>
    </row>
    <row r="43" spans="1:8" ht="12.75">
      <c r="A43" s="889" t="s">
        <v>1012</v>
      </c>
      <c r="B43" s="890" t="s">
        <v>1040</v>
      </c>
      <c r="C43" s="891">
        <v>51364</v>
      </c>
      <c r="D43" s="912"/>
      <c r="E43" s="892">
        <f>SUM(C43)</f>
        <v>51364</v>
      </c>
      <c r="F43" s="891">
        <v>71542</v>
      </c>
      <c r="G43" s="912"/>
      <c r="H43" s="893">
        <f>SUM(F43)</f>
        <v>71542</v>
      </c>
    </row>
    <row r="44" spans="1:8" ht="12.75">
      <c r="A44" s="889"/>
      <c r="B44" s="890"/>
      <c r="C44" s="891"/>
      <c r="D44" s="912"/>
      <c r="E44" s="892"/>
      <c r="F44" s="891"/>
      <c r="G44" s="912"/>
      <c r="H44" s="893"/>
    </row>
    <row r="45" spans="1:8" s="904" customFormat="1" ht="13.5" thickBot="1">
      <c r="A45" s="899"/>
      <c r="B45" s="900" t="s">
        <v>1041</v>
      </c>
      <c r="C45" s="914">
        <f>SUM(C31+C36+C40)</f>
        <v>18518855</v>
      </c>
      <c r="D45" s="901"/>
      <c r="E45" s="902">
        <f>SUM(E31+E36+E40)</f>
        <v>18518855</v>
      </c>
      <c r="F45" s="914">
        <f>SUM(F31+F36+F40)</f>
        <v>18520999</v>
      </c>
      <c r="G45" s="901"/>
      <c r="H45" s="903">
        <f>SUM(H31+H36+H40)</f>
        <v>18520999</v>
      </c>
    </row>
    <row r="46" spans="1:8" ht="12.75">
      <c r="A46" s="872"/>
      <c r="B46" s="872"/>
      <c r="C46" s="873"/>
      <c r="D46" s="873"/>
      <c r="E46" s="873"/>
      <c r="F46" s="873"/>
      <c r="G46" s="873"/>
      <c r="H46" s="873"/>
    </row>
    <row r="47" spans="1:8" ht="12.75">
      <c r="A47" s="872"/>
      <c r="B47" s="872"/>
      <c r="C47" s="873"/>
      <c r="D47" s="873"/>
      <c r="E47" s="873"/>
      <c r="F47" s="873"/>
      <c r="G47" s="873"/>
      <c r="H47" s="873"/>
    </row>
    <row r="48" spans="1:8" ht="12.75">
      <c r="A48" s="872"/>
      <c r="B48" s="872"/>
      <c r="C48" s="873"/>
      <c r="D48" s="873"/>
      <c r="E48" s="873"/>
      <c r="F48" s="873"/>
      <c r="G48" s="873"/>
      <c r="H48" s="873"/>
    </row>
    <row r="49" spans="1:8" ht="12.75">
      <c r="A49" s="872"/>
      <c r="B49" s="872"/>
      <c r="C49" s="873"/>
      <c r="D49" s="873"/>
      <c r="E49" s="873"/>
      <c r="F49" s="873"/>
      <c r="G49" s="873"/>
      <c r="H49" s="873"/>
    </row>
  </sheetData>
  <sheetProtection/>
  <mergeCells count="7">
    <mergeCell ref="A28:H28"/>
    <mergeCell ref="A2:H2"/>
    <mergeCell ref="A3:H3"/>
    <mergeCell ref="A4:H4"/>
    <mergeCell ref="A7:B7"/>
    <mergeCell ref="A26:H26"/>
    <mergeCell ref="A27:H27"/>
  </mergeCells>
  <printOptions/>
  <pageMargins left="0.7" right="0.7" top="0.75" bottom="0.75" header="0.3" footer="0.3"/>
  <pageSetup horizontalDpi="600" verticalDpi="600" orientation="portrait" paperSize="9" scale="84" r:id="rId1"/>
  <headerFooter>
    <oddHeader>&amp;L19. melléklet a 8/2014.(V.5.) önkormányzati rendelethez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1">
      <selection activeCell="A1" sqref="A1:E1"/>
    </sheetView>
  </sheetViews>
  <sheetFormatPr defaultColWidth="9.00390625" defaultRowHeight="12.75"/>
  <cols>
    <col min="1" max="1" width="5.75390625" style="1299" customWidth="1"/>
    <col min="2" max="2" width="53.75390625" style="0" customWidth="1"/>
    <col min="3" max="3" width="13.25390625" style="0" customWidth="1"/>
    <col min="4" max="4" width="13.125" style="0" customWidth="1"/>
    <col min="5" max="5" width="11.75390625" style="0" customWidth="1"/>
  </cols>
  <sheetData>
    <row r="1" spans="1:5" ht="12.75">
      <c r="A1" s="1580" t="s">
        <v>1343</v>
      </c>
      <c r="B1" s="1581"/>
      <c r="C1" s="1581"/>
      <c r="D1" s="1581"/>
      <c r="E1" s="1581"/>
    </row>
    <row r="2" ht="13.5" thickBot="1"/>
    <row r="3" spans="1:6" ht="12.75">
      <c r="A3" s="1592" t="s">
        <v>1340</v>
      </c>
      <c r="B3" s="1582" t="s">
        <v>216</v>
      </c>
      <c r="C3" s="1582" t="s">
        <v>1253</v>
      </c>
      <c r="D3" s="1582" t="s">
        <v>1254</v>
      </c>
      <c r="E3" s="1587" t="s">
        <v>321</v>
      </c>
      <c r="F3" s="1584"/>
    </row>
    <row r="4" spans="1:6" ht="13.5" customHeight="1">
      <c r="A4" s="1593"/>
      <c r="B4" s="1590"/>
      <c r="C4" s="1583"/>
      <c r="D4" s="1583"/>
      <c r="E4" s="1588"/>
      <c r="F4" s="1584"/>
    </row>
    <row r="5" spans="1:6" ht="15.75">
      <c r="A5" s="1594"/>
      <c r="B5" s="1591"/>
      <c r="C5" s="1585" t="s">
        <v>1255</v>
      </c>
      <c r="D5" s="1586"/>
      <c r="E5" s="1589"/>
      <c r="F5" s="1294"/>
    </row>
    <row r="6" spans="1:6" ht="12" customHeight="1">
      <c r="A6" s="1293" t="s">
        <v>1256</v>
      </c>
      <c r="B6" s="1296" t="s">
        <v>1257</v>
      </c>
      <c r="C6" s="1302">
        <v>837643</v>
      </c>
      <c r="D6" s="1302">
        <v>915607</v>
      </c>
      <c r="E6" s="1303">
        <v>865519</v>
      </c>
      <c r="F6" s="1294"/>
    </row>
    <row r="7" spans="1:6" ht="12" customHeight="1">
      <c r="A7" s="1293" t="s">
        <v>1258</v>
      </c>
      <c r="B7" s="1296" t="s">
        <v>1259</v>
      </c>
      <c r="C7" s="1302">
        <v>222964</v>
      </c>
      <c r="D7" s="1302">
        <v>241241</v>
      </c>
      <c r="E7" s="1303">
        <v>221085</v>
      </c>
      <c r="F7" s="1294"/>
    </row>
    <row r="8" spans="1:6" ht="12" customHeight="1">
      <c r="A8" s="1293" t="s">
        <v>1260</v>
      </c>
      <c r="B8" s="1296" t="s">
        <v>1261</v>
      </c>
      <c r="C8" s="1302">
        <v>1340278</v>
      </c>
      <c r="D8" s="1302">
        <v>1539458</v>
      </c>
      <c r="E8" s="1303">
        <v>1376271</v>
      </c>
      <c r="F8" s="1294"/>
    </row>
    <row r="9" spans="1:6" ht="12" customHeight="1">
      <c r="A9" s="1293" t="s">
        <v>1262</v>
      </c>
      <c r="B9" s="1296" t="s">
        <v>1263</v>
      </c>
      <c r="C9" s="1302"/>
      <c r="D9" s="1302">
        <v>215267</v>
      </c>
      <c r="E9" s="1303">
        <v>231117</v>
      </c>
      <c r="F9" s="1294"/>
    </row>
    <row r="10" spans="1:6" ht="12" customHeight="1">
      <c r="A10" s="1293" t="s">
        <v>1264</v>
      </c>
      <c r="B10" s="1296" t="s">
        <v>1341</v>
      </c>
      <c r="C10" s="1302">
        <v>605263</v>
      </c>
      <c r="D10" s="1302">
        <v>498615</v>
      </c>
      <c r="E10" s="1303">
        <v>476816</v>
      </c>
      <c r="F10" s="1294"/>
    </row>
    <row r="11" spans="1:6" ht="12" customHeight="1">
      <c r="A11" s="1293" t="s">
        <v>1265</v>
      </c>
      <c r="B11" s="1296" t="s">
        <v>1266</v>
      </c>
      <c r="C11" s="1302">
        <v>155714</v>
      </c>
      <c r="D11" s="1302">
        <v>186994</v>
      </c>
      <c r="E11" s="1303">
        <v>180575</v>
      </c>
      <c r="F11" s="1294"/>
    </row>
    <row r="12" spans="1:6" ht="12" customHeight="1">
      <c r="A12" s="1293" t="s">
        <v>1267</v>
      </c>
      <c r="B12" s="1296" t="s">
        <v>1268</v>
      </c>
      <c r="C12" s="1302">
        <v>138549</v>
      </c>
      <c r="D12" s="1302">
        <v>161880</v>
      </c>
      <c r="E12" s="1303">
        <v>77511</v>
      </c>
      <c r="F12" s="1294"/>
    </row>
    <row r="13" spans="1:6" ht="12" customHeight="1">
      <c r="A13" s="1293" t="s">
        <v>1269</v>
      </c>
      <c r="B13" s="1296" t="s">
        <v>1342</v>
      </c>
      <c r="C13" s="1302">
        <v>4467239</v>
      </c>
      <c r="D13" s="1302">
        <v>763813</v>
      </c>
      <c r="E13" s="1303">
        <v>682607</v>
      </c>
      <c r="F13" s="1294"/>
    </row>
    <row r="14" spans="1:6" ht="12" customHeight="1">
      <c r="A14" s="1293" t="s">
        <v>1270</v>
      </c>
      <c r="B14" s="1296" t="s">
        <v>1271</v>
      </c>
      <c r="C14" s="1302"/>
      <c r="D14" s="1302">
        <v>3975</v>
      </c>
      <c r="E14" s="1303">
        <v>1422</v>
      </c>
      <c r="F14" s="1294"/>
    </row>
    <row r="15" spans="1:6" ht="12" customHeight="1">
      <c r="A15" s="1293" t="s">
        <v>1070</v>
      </c>
      <c r="B15" s="1296" t="s">
        <v>1272</v>
      </c>
      <c r="C15" s="1302">
        <v>137127</v>
      </c>
      <c r="D15" s="1302">
        <v>97501</v>
      </c>
      <c r="E15" s="1303">
        <v>40947</v>
      </c>
      <c r="F15" s="1294"/>
    </row>
    <row r="16" spans="1:6" ht="12" customHeight="1">
      <c r="A16" s="1293" t="s">
        <v>1072</v>
      </c>
      <c r="B16" s="1296" t="s">
        <v>1043</v>
      </c>
      <c r="C16" s="1302">
        <v>5300</v>
      </c>
      <c r="D16" s="1302">
        <v>199437</v>
      </c>
      <c r="E16" s="1303">
        <v>106308</v>
      </c>
      <c r="F16" s="1294"/>
    </row>
    <row r="17" spans="1:6" ht="12" customHeight="1">
      <c r="A17" s="1293" t="s">
        <v>1074</v>
      </c>
      <c r="B17" s="1296" t="s">
        <v>1044</v>
      </c>
      <c r="C17" s="1302">
        <v>4800</v>
      </c>
      <c r="D17" s="1302">
        <v>42108</v>
      </c>
      <c r="E17" s="1303">
        <v>42108</v>
      </c>
      <c r="F17" s="1294"/>
    </row>
    <row r="18" spans="1:6" ht="12" customHeight="1">
      <c r="A18" s="1300" t="s">
        <v>1075</v>
      </c>
      <c r="B18" s="1297" t="s">
        <v>1273</v>
      </c>
      <c r="C18" s="1304">
        <f>SUM(C6:C17)</f>
        <v>7914877</v>
      </c>
      <c r="D18" s="1304">
        <f>SUM(D6:D17)</f>
        <v>4865896</v>
      </c>
      <c r="E18" s="1305">
        <f>SUM(E6:E17)</f>
        <v>4302286</v>
      </c>
      <c r="F18" s="1294"/>
    </row>
    <row r="19" spans="1:6" ht="12" customHeight="1">
      <c r="A19" s="1293" t="s">
        <v>1274</v>
      </c>
      <c r="B19" s="1296" t="s">
        <v>1275</v>
      </c>
      <c r="C19" s="1302">
        <v>123539</v>
      </c>
      <c r="D19" s="1302">
        <v>98579</v>
      </c>
      <c r="E19" s="1303">
        <v>98516</v>
      </c>
      <c r="F19" s="1294"/>
    </row>
    <row r="20" spans="1:6" ht="12" customHeight="1">
      <c r="A20" s="1293" t="s">
        <v>1079</v>
      </c>
      <c r="B20" s="1296" t="s">
        <v>1276</v>
      </c>
      <c r="C20" s="1302"/>
      <c r="D20" s="1302"/>
      <c r="E20" s="1303"/>
      <c r="F20" s="1294"/>
    </row>
    <row r="21" spans="1:6" ht="12" customHeight="1">
      <c r="A21" s="1293" t="s">
        <v>1277</v>
      </c>
      <c r="B21" s="1296" t="s">
        <v>1278</v>
      </c>
      <c r="C21" s="1302"/>
      <c r="D21" s="1302"/>
      <c r="E21" s="1303"/>
      <c r="F21" s="1294"/>
    </row>
    <row r="22" spans="1:6" ht="12" customHeight="1">
      <c r="A22" s="1293" t="s">
        <v>1279</v>
      </c>
      <c r="B22" s="1296" t="s">
        <v>1280</v>
      </c>
      <c r="C22" s="1302"/>
      <c r="D22" s="1302"/>
      <c r="E22" s="1303"/>
      <c r="F22" s="1294"/>
    </row>
    <row r="23" spans="1:6" ht="12" customHeight="1">
      <c r="A23" s="1293" t="s">
        <v>1281</v>
      </c>
      <c r="B23" s="1296" t="s">
        <v>1282</v>
      </c>
      <c r="C23" s="1302"/>
      <c r="D23" s="1302"/>
      <c r="E23" s="1303"/>
      <c r="F23" s="1294"/>
    </row>
    <row r="24" spans="1:6" ht="12" customHeight="1">
      <c r="A24" s="1293" t="s">
        <v>1283</v>
      </c>
      <c r="B24" s="1296" t="s">
        <v>1284</v>
      </c>
      <c r="C24" s="1302"/>
      <c r="D24" s="1302"/>
      <c r="E24" s="1303"/>
      <c r="F24" s="1294"/>
    </row>
    <row r="25" spans="1:6" ht="12" customHeight="1">
      <c r="A25" s="1300" t="s">
        <v>1285</v>
      </c>
      <c r="B25" s="1297" t="s">
        <v>1286</v>
      </c>
      <c r="C25" s="1304">
        <f>SUM(C19:C24)</f>
        <v>123539</v>
      </c>
      <c r="D25" s="1304">
        <f>SUM(D19:D24)</f>
        <v>98579</v>
      </c>
      <c r="E25" s="1305">
        <f>SUM(E19:E24)</f>
        <v>98516</v>
      </c>
      <c r="F25" s="1294"/>
    </row>
    <row r="26" spans="1:6" ht="12" customHeight="1">
      <c r="A26" s="1300" t="s">
        <v>1287</v>
      </c>
      <c r="B26" s="1297" t="s">
        <v>1288</v>
      </c>
      <c r="C26" s="1304">
        <f>SUM(C25,C18)</f>
        <v>8038416</v>
      </c>
      <c r="D26" s="1304">
        <f>SUM(D25,D18)</f>
        <v>4964475</v>
      </c>
      <c r="E26" s="1305">
        <f>SUM(E25,E18)</f>
        <v>4400802</v>
      </c>
      <c r="F26" s="1294"/>
    </row>
    <row r="27" spans="1:6" ht="12" customHeight="1">
      <c r="A27" s="1293" t="s">
        <v>1289</v>
      </c>
      <c r="B27" s="1296" t="s">
        <v>1290</v>
      </c>
      <c r="C27" s="1302"/>
      <c r="D27" s="1302"/>
      <c r="E27" s="1303"/>
      <c r="F27" s="1294"/>
    </row>
    <row r="28" spans="1:6" ht="12" customHeight="1">
      <c r="A28" s="1293" t="s">
        <v>1291</v>
      </c>
      <c r="B28" s="1296" t="s">
        <v>1292</v>
      </c>
      <c r="C28" s="1302"/>
      <c r="D28" s="1302"/>
      <c r="E28" s="1303">
        <v>36881</v>
      </c>
      <c r="F28" s="1294"/>
    </row>
    <row r="29" spans="1:6" ht="12" customHeight="1">
      <c r="A29" s="1300" t="s">
        <v>1293</v>
      </c>
      <c r="B29" s="1297" t="s">
        <v>1294</v>
      </c>
      <c r="C29" s="1304">
        <f>SUM(C26+C27+C28)</f>
        <v>8038416</v>
      </c>
      <c r="D29" s="1304">
        <f>SUM(D26+D27+D28)</f>
        <v>4964475</v>
      </c>
      <c r="E29" s="1305">
        <f>SUM(E26+E27+E28)</f>
        <v>4437683</v>
      </c>
      <c r="F29" s="1295"/>
    </row>
    <row r="30" spans="1:5" ht="12" customHeight="1">
      <c r="A30" s="1293" t="s">
        <v>1295</v>
      </c>
      <c r="B30" s="1296" t="s">
        <v>1103</v>
      </c>
      <c r="C30" s="1302">
        <v>2045579</v>
      </c>
      <c r="D30" s="1302">
        <v>2282308</v>
      </c>
      <c r="E30" s="1303">
        <v>2273227</v>
      </c>
    </row>
    <row r="31" spans="1:5" ht="12" customHeight="1">
      <c r="A31" s="1293" t="s">
        <v>1296</v>
      </c>
      <c r="B31" s="1296" t="s">
        <v>1297</v>
      </c>
      <c r="C31" s="1302">
        <v>82410</v>
      </c>
      <c r="D31" s="1302">
        <v>257042</v>
      </c>
      <c r="E31" s="1309">
        <v>273461</v>
      </c>
    </row>
    <row r="32" spans="1:5" ht="12" customHeight="1">
      <c r="A32" s="1293" t="s">
        <v>1298</v>
      </c>
      <c r="B32" s="1296" t="s">
        <v>1299</v>
      </c>
      <c r="C32" s="1302">
        <v>22611</v>
      </c>
      <c r="D32" s="1302">
        <v>13217</v>
      </c>
      <c r="E32" s="1309">
        <v>10887</v>
      </c>
    </row>
    <row r="33" spans="1:5" ht="12" customHeight="1">
      <c r="A33" s="1293" t="s">
        <v>1300</v>
      </c>
      <c r="B33" s="1296" t="s">
        <v>1301</v>
      </c>
      <c r="C33" s="1302">
        <v>450279</v>
      </c>
      <c r="D33" s="1302">
        <v>88526</v>
      </c>
      <c r="E33" s="1309">
        <v>102763</v>
      </c>
    </row>
    <row r="34" spans="1:5" ht="12" customHeight="1">
      <c r="A34" s="1293" t="s">
        <v>1302</v>
      </c>
      <c r="B34" s="1296" t="s">
        <v>1303</v>
      </c>
      <c r="C34" s="1302"/>
      <c r="D34" s="1302"/>
      <c r="E34" s="1309"/>
    </row>
    <row r="35" spans="1:5" ht="12" customHeight="1">
      <c r="A35" s="1293" t="s">
        <v>1304</v>
      </c>
      <c r="B35" s="1296" t="s">
        <v>1305</v>
      </c>
      <c r="C35" s="1302">
        <v>3256072</v>
      </c>
      <c r="D35" s="1302">
        <v>452805</v>
      </c>
      <c r="E35" s="1309">
        <v>395116</v>
      </c>
    </row>
    <row r="36" spans="1:5" ht="12" customHeight="1">
      <c r="A36" s="1293" t="s">
        <v>1306</v>
      </c>
      <c r="B36" s="1296" t="s">
        <v>1307</v>
      </c>
      <c r="C36" s="1302">
        <v>50</v>
      </c>
      <c r="D36" s="1302">
        <v>5050</v>
      </c>
      <c r="E36" s="1309">
        <v>5262</v>
      </c>
    </row>
    <row r="37" spans="1:5" ht="12" customHeight="1">
      <c r="A37" s="1293" t="s">
        <v>1308</v>
      </c>
      <c r="B37" s="1296" t="s">
        <v>1309</v>
      </c>
      <c r="C37" s="1302">
        <v>855379</v>
      </c>
      <c r="D37" s="1302">
        <v>1012309</v>
      </c>
      <c r="E37" s="1309">
        <v>1020596</v>
      </c>
    </row>
    <row r="38" spans="1:5" ht="12" customHeight="1">
      <c r="A38" s="1293" t="s">
        <v>1310</v>
      </c>
      <c r="B38" s="1296" t="s">
        <v>1311</v>
      </c>
      <c r="C38" s="1302">
        <v>855379</v>
      </c>
      <c r="D38" s="1302">
        <v>1012309</v>
      </c>
      <c r="E38" s="1309">
        <v>1012309</v>
      </c>
    </row>
    <row r="39" spans="1:5" ht="12" customHeight="1">
      <c r="A39" s="1293" t="s">
        <v>1312</v>
      </c>
      <c r="B39" s="1296" t="s">
        <v>1045</v>
      </c>
      <c r="C39" s="1302"/>
      <c r="D39" s="1302"/>
      <c r="E39" s="1309"/>
    </row>
    <row r="40" spans="1:5" ht="12" customHeight="1">
      <c r="A40" s="1293" t="s">
        <v>1313</v>
      </c>
      <c r="B40" s="1296" t="s">
        <v>1046</v>
      </c>
      <c r="C40" s="1302">
        <v>109449</v>
      </c>
      <c r="D40" s="1302">
        <v>27931</v>
      </c>
      <c r="E40" s="1309">
        <v>28325</v>
      </c>
    </row>
    <row r="41" spans="1:5" ht="12" customHeight="1">
      <c r="A41" s="1300" t="s">
        <v>1314</v>
      </c>
      <c r="B41" s="1297" t="s">
        <v>1315</v>
      </c>
      <c r="C41" s="1304">
        <f>SUM(C30+C31+C32+C33+C35+C36+C37+C39+C40)</f>
        <v>6821829</v>
      </c>
      <c r="D41" s="1304">
        <f>SUM(D30+D31+D32+D33+D35+D36+D37+D39+D40)</f>
        <v>4139188</v>
      </c>
      <c r="E41" s="1305">
        <f>SUM(E30+E31+E32+E33+E35+E36+E37+E39+E40)</f>
        <v>4109637</v>
      </c>
    </row>
    <row r="42" spans="1:5" ht="12.75">
      <c r="A42" s="1293" t="s">
        <v>1316</v>
      </c>
      <c r="B42" s="1296" t="s">
        <v>1047</v>
      </c>
      <c r="C42" s="1302">
        <v>714718</v>
      </c>
      <c r="D42" s="1302"/>
      <c r="E42" s="1306"/>
    </row>
    <row r="43" spans="1:5" ht="12.75">
      <c r="A43" s="1293" t="s">
        <v>1317</v>
      </c>
      <c r="B43" s="1296" t="s">
        <v>1048</v>
      </c>
      <c r="C43" s="1302"/>
      <c r="D43" s="1302"/>
      <c r="E43" s="1306"/>
    </row>
    <row r="44" spans="1:5" ht="12.75">
      <c r="A44" s="1293" t="s">
        <v>1318</v>
      </c>
      <c r="B44" s="1296" t="s">
        <v>1319</v>
      </c>
      <c r="C44" s="1302"/>
      <c r="D44" s="1302"/>
      <c r="E44" s="1306"/>
    </row>
    <row r="45" spans="1:5" ht="12.75">
      <c r="A45" s="1293" t="s">
        <v>1320</v>
      </c>
      <c r="B45" s="1296" t="s">
        <v>1321</v>
      </c>
      <c r="C45" s="1302"/>
      <c r="D45" s="1302"/>
      <c r="E45" s="1306"/>
    </row>
    <row r="46" spans="1:5" ht="12.75">
      <c r="A46" s="1293" t="s">
        <v>1322</v>
      </c>
      <c r="B46" s="1296" t="s">
        <v>1323</v>
      </c>
      <c r="C46" s="1302"/>
      <c r="D46" s="1302"/>
      <c r="E46" s="1306"/>
    </row>
    <row r="47" spans="1:5" ht="12.75">
      <c r="A47" s="1300" t="s">
        <v>1324</v>
      </c>
      <c r="B47" s="1297" t="s">
        <v>1325</v>
      </c>
      <c r="C47" s="1304">
        <f>SUM(C42+C43+C45+C46)</f>
        <v>714718</v>
      </c>
      <c r="D47" s="1304"/>
      <c r="E47" s="1305"/>
    </row>
    <row r="48" spans="1:5" ht="12.75">
      <c r="A48" s="1300" t="s">
        <v>1326</v>
      </c>
      <c r="B48" s="1297" t="s">
        <v>1327</v>
      </c>
      <c r="C48" s="1304">
        <f>SUM(C41+C47)</f>
        <v>7536547</v>
      </c>
      <c r="D48" s="1304">
        <f>SUM(D41+D47)</f>
        <v>4139188</v>
      </c>
      <c r="E48" s="1305">
        <f>SUM(E41+E47)</f>
        <v>4109637</v>
      </c>
    </row>
    <row r="49" spans="1:5" ht="12.75">
      <c r="A49" s="1293" t="s">
        <v>1328</v>
      </c>
      <c r="B49" s="1296" t="s">
        <v>1049</v>
      </c>
      <c r="C49" s="1302">
        <v>501869</v>
      </c>
      <c r="D49" s="1302">
        <v>825287</v>
      </c>
      <c r="E49" s="1308">
        <v>834949</v>
      </c>
    </row>
    <row r="50" spans="1:5" ht="12.75">
      <c r="A50" s="1293" t="s">
        <v>1329</v>
      </c>
      <c r="B50" s="1296" t="s">
        <v>1330</v>
      </c>
      <c r="C50" s="1302"/>
      <c r="D50" s="1302"/>
      <c r="E50" s="1308">
        <v>20718</v>
      </c>
    </row>
    <row r="51" spans="1:5" ht="12.75">
      <c r="A51" s="1300" t="s">
        <v>1331</v>
      </c>
      <c r="B51" s="1297" t="s">
        <v>1332</v>
      </c>
      <c r="C51" s="1304">
        <f>SUM(C48:C50)</f>
        <v>8038416</v>
      </c>
      <c r="D51" s="1304">
        <f>SUM(D48:D50)</f>
        <v>4964475</v>
      </c>
      <c r="E51" s="1305">
        <f>SUM(E48:E50)</f>
        <v>4965304</v>
      </c>
    </row>
    <row r="52" spans="1:5" ht="25.5">
      <c r="A52" s="1300" t="s">
        <v>1333</v>
      </c>
      <c r="B52" s="1297" t="s">
        <v>1334</v>
      </c>
      <c r="C52" s="1304">
        <f>SUM(C41-C18)</f>
        <v>-1093048</v>
      </c>
      <c r="D52" s="1304">
        <f>SUM(D41-D18)</f>
        <v>-726708</v>
      </c>
      <c r="E52" s="1305">
        <f>SUM(E41-E18)</f>
        <v>-192649</v>
      </c>
    </row>
    <row r="53" spans="1:5" ht="25.5">
      <c r="A53" s="1300" t="s">
        <v>1335</v>
      </c>
      <c r="B53" s="1296" t="s">
        <v>1336</v>
      </c>
      <c r="C53" s="1304">
        <f>SUM(C52+C49-C27)</f>
        <v>-591179</v>
      </c>
      <c r="D53" s="1304">
        <f>SUM(D52+D49-D27)</f>
        <v>98579</v>
      </c>
      <c r="E53" s="1305">
        <f>SUM(E52+E49-E27)</f>
        <v>642300</v>
      </c>
    </row>
    <row r="54" spans="1:5" ht="12.75">
      <c r="A54" s="1300" t="s">
        <v>1337</v>
      </c>
      <c r="B54" s="1297" t="s">
        <v>1104</v>
      </c>
      <c r="C54" s="1304">
        <f>SUM(C47-C25)</f>
        <v>591179</v>
      </c>
      <c r="D54" s="1304">
        <f>SUM(D47-D25)</f>
        <v>-98579</v>
      </c>
      <c r="E54" s="1305">
        <f>SUM(E47-E25)</f>
        <v>-98516</v>
      </c>
    </row>
    <row r="55" spans="1:5" ht="13.5" thickBot="1">
      <c r="A55" s="1301" t="s">
        <v>1338</v>
      </c>
      <c r="B55" s="1298" t="s">
        <v>1339</v>
      </c>
      <c r="C55" s="1307">
        <f>SUM(C50-C28)</f>
        <v>0</v>
      </c>
      <c r="D55" s="1307">
        <f>SUM(D50-D28)</f>
        <v>0</v>
      </c>
      <c r="E55" s="1310">
        <f>SUM(E50-E28)</f>
        <v>-16163</v>
      </c>
    </row>
  </sheetData>
  <sheetProtection/>
  <mergeCells count="8">
    <mergeCell ref="A1:E1"/>
    <mergeCell ref="C3:C4"/>
    <mergeCell ref="D3:D4"/>
    <mergeCell ref="F3:F4"/>
    <mergeCell ref="C5:D5"/>
    <mergeCell ref="E3:E5"/>
    <mergeCell ref="B3:B5"/>
    <mergeCell ref="A3:A5"/>
  </mergeCells>
  <printOptions/>
  <pageMargins left="0.7" right="0.7" top="0.75" bottom="0.75" header="0.3" footer="0.3"/>
  <pageSetup horizontalDpi="600" verticalDpi="600" orientation="portrait" paperSize="9" scale="90" r:id="rId1"/>
  <headerFooter>
    <oddHeader>&amp;L20. melléklet a 8/2014.(V.5.) önkormányzati rendelethez
</oddHeader>
  </headerFooter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3"/>
  <sheetViews>
    <sheetView view="pageLayout" workbookViewId="0" topLeftCell="A1">
      <selection activeCell="A3" sqref="A3:H3"/>
    </sheetView>
  </sheetViews>
  <sheetFormatPr defaultColWidth="9.00390625" defaultRowHeight="12.75"/>
  <cols>
    <col min="1" max="1" width="7.00390625" style="916" customWidth="1"/>
    <col min="2" max="2" width="59.25390625" style="916" customWidth="1"/>
    <col min="3" max="3" width="13.375" style="916" customWidth="1"/>
    <col min="4" max="4" width="10.625" style="916" customWidth="1"/>
    <col min="5" max="5" width="15.625" style="916" customWidth="1"/>
    <col min="6" max="6" width="10.625" style="916" customWidth="1"/>
    <col min="7" max="7" width="10.875" style="916" customWidth="1"/>
    <col min="8" max="8" width="18.625" style="916" customWidth="1"/>
    <col min="9" max="16384" width="9.125" style="916" customWidth="1"/>
  </cols>
  <sheetData>
    <row r="1" spans="1:8" ht="12.75">
      <c r="A1" s="1595"/>
      <c r="B1" s="1595"/>
      <c r="C1" s="915"/>
      <c r="D1" s="915"/>
      <c r="E1" s="915"/>
      <c r="F1" s="915"/>
      <c r="G1" s="915"/>
      <c r="H1" s="915"/>
    </row>
    <row r="2" spans="1:8" ht="12.75">
      <c r="A2" s="917"/>
      <c r="B2" s="917"/>
      <c r="C2" s="915"/>
      <c r="D2" s="915"/>
      <c r="E2" s="915"/>
      <c r="F2" s="915"/>
      <c r="G2" s="915"/>
      <c r="H2" s="915"/>
    </row>
    <row r="3" spans="1:8" ht="12.75">
      <c r="A3" s="1596" t="s">
        <v>1050</v>
      </c>
      <c r="B3" s="1596"/>
      <c r="C3" s="1596"/>
      <c r="D3" s="1596"/>
      <c r="E3" s="1596"/>
      <c r="F3" s="1596"/>
      <c r="G3" s="1596"/>
      <c r="H3" s="1596"/>
    </row>
    <row r="4" spans="1:8" ht="12.75">
      <c r="A4" s="1596" t="s">
        <v>1131</v>
      </c>
      <c r="B4" s="1596"/>
      <c r="C4" s="1596"/>
      <c r="D4" s="1596"/>
      <c r="E4" s="1596"/>
      <c r="F4" s="1596"/>
      <c r="G4" s="1596"/>
      <c r="H4" s="1596"/>
    </row>
    <row r="5" spans="1:8" ht="13.5">
      <c r="A5" s="918"/>
      <c r="B5" s="919"/>
      <c r="C5" s="919"/>
      <c r="D5" s="919"/>
      <c r="E5" s="919"/>
      <c r="F5" s="919"/>
      <c r="G5" s="919"/>
      <c r="H5" s="919"/>
    </row>
    <row r="6" spans="1:8" ht="13.5">
      <c r="A6" s="918"/>
      <c r="B6" s="919"/>
      <c r="C6" s="919"/>
      <c r="D6" s="919"/>
      <c r="E6" s="919"/>
      <c r="F6" s="919"/>
      <c r="G6" s="919"/>
      <c r="H6" s="919"/>
    </row>
    <row r="7" spans="1:8" ht="14.25" thickBot="1">
      <c r="A7" s="917"/>
      <c r="B7" s="918"/>
      <c r="C7" s="920"/>
      <c r="D7" s="921"/>
      <c r="E7" s="921"/>
      <c r="F7" s="921"/>
      <c r="G7" s="920"/>
      <c r="H7" s="922" t="s">
        <v>35</v>
      </c>
    </row>
    <row r="8" spans="1:8" ht="51" customHeight="1">
      <c r="A8" s="923"/>
      <c r="B8" s="924" t="s">
        <v>216</v>
      </c>
      <c r="C8" s="925" t="s">
        <v>1051</v>
      </c>
      <c r="D8" s="925" t="s">
        <v>1052</v>
      </c>
      <c r="E8" s="925" t="s">
        <v>1053</v>
      </c>
      <c r="F8" s="925" t="s">
        <v>1054</v>
      </c>
      <c r="G8" s="925" t="s">
        <v>1055</v>
      </c>
      <c r="H8" s="926" t="s">
        <v>1056</v>
      </c>
    </row>
    <row r="9" spans="1:8" ht="12.75" customHeight="1">
      <c r="A9" s="927" t="s">
        <v>1026</v>
      </c>
      <c r="B9" s="928" t="s">
        <v>40</v>
      </c>
      <c r="C9" s="929">
        <v>818549</v>
      </c>
      <c r="D9" s="929"/>
      <c r="E9" s="929">
        <f>SUM(C9)</f>
        <v>818549</v>
      </c>
      <c r="F9" s="929">
        <v>511273</v>
      </c>
      <c r="G9" s="929"/>
      <c r="H9" s="930">
        <f>SUM(F9)</f>
        <v>511273</v>
      </c>
    </row>
    <row r="10" spans="1:8" ht="12.75" customHeight="1">
      <c r="A10" s="927" t="s">
        <v>1057</v>
      </c>
      <c r="B10" s="928" t="s">
        <v>1058</v>
      </c>
      <c r="C10" s="929">
        <v>0</v>
      </c>
      <c r="D10" s="929"/>
      <c r="E10" s="929">
        <f>SUM(C10)</f>
        <v>0</v>
      </c>
      <c r="F10" s="929">
        <v>0</v>
      </c>
      <c r="G10" s="929"/>
      <c r="H10" s="930">
        <f>SUM(F10)</f>
        <v>0</v>
      </c>
    </row>
    <row r="11" spans="1:8" ht="12.75" customHeight="1">
      <c r="A11" s="927" t="s">
        <v>1030</v>
      </c>
      <c r="B11" s="931" t="s">
        <v>1059</v>
      </c>
      <c r="C11" s="929">
        <v>3958</v>
      </c>
      <c r="D11" s="929"/>
      <c r="E11" s="929">
        <f>SUM(C11)</f>
        <v>3958</v>
      </c>
      <c r="F11" s="929">
        <v>20936</v>
      </c>
      <c r="G11" s="929"/>
      <c r="H11" s="930">
        <f>SUM(F11)</f>
        <v>20936</v>
      </c>
    </row>
    <row r="12" spans="1:8" ht="12.75" customHeight="1">
      <c r="A12" s="927" t="s">
        <v>1060</v>
      </c>
      <c r="B12" s="928" t="s">
        <v>1061</v>
      </c>
      <c r="C12" s="929">
        <v>0</v>
      </c>
      <c r="D12" s="929"/>
      <c r="E12" s="929">
        <f>SUM(C12)</f>
        <v>0</v>
      </c>
      <c r="F12" s="929">
        <v>6130</v>
      </c>
      <c r="G12" s="929"/>
      <c r="H12" s="930">
        <f>SUM(F12)</f>
        <v>6130</v>
      </c>
    </row>
    <row r="13" spans="1:8" ht="12.75" customHeight="1">
      <c r="A13" s="927" t="s">
        <v>1062</v>
      </c>
      <c r="B13" s="928" t="s">
        <v>1134</v>
      </c>
      <c r="C13" s="929">
        <v>0</v>
      </c>
      <c r="D13" s="929"/>
      <c r="E13" s="929">
        <f>SUM(C13)</f>
        <v>0</v>
      </c>
      <c r="F13" s="929">
        <v>0</v>
      </c>
      <c r="G13" s="929"/>
      <c r="H13" s="930">
        <f>SUM(F13)</f>
        <v>0</v>
      </c>
    </row>
    <row r="14" spans="1:8" ht="12.75" customHeight="1">
      <c r="A14" s="927" t="s">
        <v>1063</v>
      </c>
      <c r="B14" s="932" t="s">
        <v>1064</v>
      </c>
      <c r="C14" s="933">
        <f aca="true" t="shared" si="0" ref="C14:H14">SUM(C9+C10+C11-C12-C13)</f>
        <v>822507</v>
      </c>
      <c r="D14" s="933">
        <f t="shared" si="0"/>
        <v>0</v>
      </c>
      <c r="E14" s="933">
        <f t="shared" si="0"/>
        <v>822507</v>
      </c>
      <c r="F14" s="933">
        <f t="shared" si="0"/>
        <v>526079</v>
      </c>
      <c r="G14" s="933">
        <f t="shared" si="0"/>
        <v>0</v>
      </c>
      <c r="H14" s="934">
        <f t="shared" si="0"/>
        <v>526079</v>
      </c>
    </row>
    <row r="15" spans="1:8" ht="12.75" customHeight="1">
      <c r="A15" s="927" t="s">
        <v>1065</v>
      </c>
      <c r="B15" s="928" t="s">
        <v>1066</v>
      </c>
      <c r="C15" s="929">
        <v>1913</v>
      </c>
      <c r="D15" s="929"/>
      <c r="E15" s="929">
        <f>SUM(C15)</f>
        <v>1913</v>
      </c>
      <c r="F15" s="929">
        <v>-7649</v>
      </c>
      <c r="G15" s="929"/>
      <c r="H15" s="930">
        <f>SUM(F15)</f>
        <v>-7649</v>
      </c>
    </row>
    <row r="16" spans="1:8" ht="12.75" customHeight="1">
      <c r="A16" s="927" t="s">
        <v>1067</v>
      </c>
      <c r="B16" s="928" t="s">
        <v>1068</v>
      </c>
      <c r="C16" s="929">
        <v>0</v>
      </c>
      <c r="D16" s="929"/>
      <c r="E16" s="929">
        <f>SUM(C16)</f>
        <v>0</v>
      </c>
      <c r="F16" s="929">
        <v>0</v>
      </c>
      <c r="G16" s="929"/>
      <c r="H16" s="930">
        <f>SUM(F16)</f>
        <v>0</v>
      </c>
    </row>
    <row r="17" spans="1:8" ht="12.75" customHeight="1">
      <c r="A17" s="935" t="s">
        <v>1069</v>
      </c>
      <c r="B17" s="936" t="s">
        <v>1105</v>
      </c>
      <c r="C17" s="937">
        <f aca="true" t="shared" si="1" ref="C17:H17">C14+C15+C16</f>
        <v>824420</v>
      </c>
      <c r="D17" s="937">
        <f t="shared" si="1"/>
        <v>0</v>
      </c>
      <c r="E17" s="937">
        <f t="shared" si="1"/>
        <v>824420</v>
      </c>
      <c r="F17" s="937">
        <f t="shared" si="1"/>
        <v>518430</v>
      </c>
      <c r="G17" s="937">
        <f t="shared" si="1"/>
        <v>0</v>
      </c>
      <c r="H17" s="938">
        <f t="shared" si="1"/>
        <v>518430</v>
      </c>
    </row>
    <row r="18" spans="1:8" ht="12.75">
      <c r="A18" s="927" t="s">
        <v>1070</v>
      </c>
      <c r="B18" s="931" t="s">
        <v>1071</v>
      </c>
      <c r="C18" s="929">
        <v>0</v>
      </c>
      <c r="D18" s="929"/>
      <c r="E18" s="929">
        <v>0</v>
      </c>
      <c r="F18" s="929">
        <v>0</v>
      </c>
      <c r="G18" s="929">
        <v>0</v>
      </c>
      <c r="H18" s="930">
        <f>SUM(F18)</f>
        <v>0</v>
      </c>
    </row>
    <row r="19" spans="1:8" ht="12.75">
      <c r="A19" s="927" t="s">
        <v>1072</v>
      </c>
      <c r="B19" s="931" t="s">
        <v>1073</v>
      </c>
      <c r="C19" s="929">
        <v>0</v>
      </c>
      <c r="D19" s="929"/>
      <c r="E19" s="929">
        <v>0</v>
      </c>
      <c r="F19" s="929">
        <v>0</v>
      </c>
      <c r="G19" s="929">
        <v>0</v>
      </c>
      <c r="H19" s="930">
        <f>SUM(F19)</f>
        <v>0</v>
      </c>
    </row>
    <row r="20" spans="1:8" ht="12.75">
      <c r="A20" s="927" t="s">
        <v>1074</v>
      </c>
      <c r="B20" s="939" t="s">
        <v>1106</v>
      </c>
      <c r="C20" s="937">
        <f aca="true" t="shared" si="2" ref="C20:H20">SUM(C17:C19)</f>
        <v>824420</v>
      </c>
      <c r="D20" s="937">
        <f t="shared" si="2"/>
        <v>0</v>
      </c>
      <c r="E20" s="937">
        <f t="shared" si="2"/>
        <v>824420</v>
      </c>
      <c r="F20" s="937">
        <f t="shared" si="2"/>
        <v>518430</v>
      </c>
      <c r="G20" s="937">
        <f t="shared" si="2"/>
        <v>0</v>
      </c>
      <c r="H20" s="938">
        <f t="shared" si="2"/>
        <v>518430</v>
      </c>
    </row>
    <row r="21" spans="1:8" ht="12.75">
      <c r="A21" s="927" t="s">
        <v>1075</v>
      </c>
      <c r="B21" s="931" t="s">
        <v>1076</v>
      </c>
      <c r="C21" s="929">
        <v>0</v>
      </c>
      <c r="D21" s="929"/>
      <c r="E21" s="929">
        <v>0</v>
      </c>
      <c r="F21" s="929">
        <v>0</v>
      </c>
      <c r="G21" s="929"/>
      <c r="H21" s="930">
        <f>SUM(F21)</f>
        <v>0</v>
      </c>
    </row>
    <row r="22" spans="1:8" ht="12.75" customHeight="1">
      <c r="A22" s="940" t="s">
        <v>1077</v>
      </c>
      <c r="B22" s="941" t="s">
        <v>1078</v>
      </c>
      <c r="C22" s="942">
        <v>545165</v>
      </c>
      <c r="D22" s="942"/>
      <c r="E22" s="942">
        <f>SUM(C22)</f>
        <v>545165</v>
      </c>
      <c r="F22" s="942">
        <v>481075</v>
      </c>
      <c r="G22" s="942"/>
      <c r="H22" s="930">
        <f>SUM(F22)</f>
        <v>481075</v>
      </c>
    </row>
    <row r="23" spans="1:8" ht="13.5" customHeight="1" thickBot="1">
      <c r="A23" s="943" t="s">
        <v>1079</v>
      </c>
      <c r="B23" s="944" t="s">
        <v>1080</v>
      </c>
      <c r="C23" s="945">
        <v>279255</v>
      </c>
      <c r="D23" s="945"/>
      <c r="E23" s="945">
        <f>SUM(C23)</f>
        <v>279255</v>
      </c>
      <c r="F23" s="945">
        <v>37355</v>
      </c>
      <c r="G23" s="945"/>
      <c r="H23" s="947">
        <f>SUM(F23)</f>
        <v>37355</v>
      </c>
    </row>
  </sheetData>
  <sheetProtection/>
  <mergeCells count="3">
    <mergeCell ref="A1:B1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&amp;L21. melléklet a 8/2014.(V.5.) önkormányzati rendelethez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D22"/>
  <sheetViews>
    <sheetView view="pageLayout" workbookViewId="0" topLeftCell="A1">
      <selection activeCell="B23" sqref="B23"/>
    </sheetView>
  </sheetViews>
  <sheetFormatPr defaultColWidth="9.00390625" defaultRowHeight="12.75"/>
  <cols>
    <col min="1" max="1" width="6.375" style="866" customWidth="1"/>
    <col min="2" max="2" width="70.25390625" style="866" customWidth="1"/>
    <col min="3" max="3" width="14.125" style="866" customWidth="1"/>
    <col min="4" max="4" width="16.75390625" style="866" customWidth="1"/>
    <col min="5" max="16384" width="9.125" style="866" customWidth="1"/>
  </cols>
  <sheetData>
    <row r="3" spans="1:4" ht="12.75">
      <c r="A3" s="1485" t="s">
        <v>1107</v>
      </c>
      <c r="B3" s="1597"/>
      <c r="C3" s="1597"/>
      <c r="D3" s="1597"/>
    </row>
    <row r="5" ht="13.5" thickBot="1"/>
    <row r="6" spans="1:4" ht="12.75" customHeight="1">
      <c r="A6" s="923"/>
      <c r="B6" s="924" t="s">
        <v>216</v>
      </c>
      <c r="C6" s="925" t="s">
        <v>1121</v>
      </c>
      <c r="D6" s="926" t="s">
        <v>1122</v>
      </c>
    </row>
    <row r="7" spans="1:4" ht="12.75" customHeight="1">
      <c r="A7" s="927" t="s">
        <v>1026</v>
      </c>
      <c r="B7" s="948" t="s">
        <v>1109</v>
      </c>
      <c r="C7" s="949">
        <v>0</v>
      </c>
      <c r="D7" s="950">
        <v>0</v>
      </c>
    </row>
    <row r="8" spans="1:4" ht="12.75" customHeight="1">
      <c r="A8" s="927" t="s">
        <v>1057</v>
      </c>
      <c r="B8" s="948" t="s">
        <v>1110</v>
      </c>
      <c r="C8" s="949">
        <v>0</v>
      </c>
      <c r="D8" s="950">
        <v>0</v>
      </c>
    </row>
    <row r="9" spans="1:4" ht="12.75" customHeight="1">
      <c r="A9" s="927" t="s">
        <v>1030</v>
      </c>
      <c r="B9" s="951" t="s">
        <v>1111</v>
      </c>
      <c r="C9" s="949">
        <v>0</v>
      </c>
      <c r="D9" s="950">
        <v>0</v>
      </c>
    </row>
    <row r="10" spans="1:4" ht="12.75" customHeight="1">
      <c r="A10" s="927" t="s">
        <v>1060</v>
      </c>
      <c r="B10" s="948" t="s">
        <v>1112</v>
      </c>
      <c r="C10" s="949">
        <v>0</v>
      </c>
      <c r="D10" s="950">
        <v>0</v>
      </c>
    </row>
    <row r="11" spans="1:4" ht="12.75" customHeight="1">
      <c r="A11" s="927" t="s">
        <v>1062</v>
      </c>
      <c r="B11" s="948" t="s">
        <v>1113</v>
      </c>
      <c r="C11" s="949">
        <v>0</v>
      </c>
      <c r="D11" s="950">
        <v>0</v>
      </c>
    </row>
    <row r="12" spans="1:4" ht="12.75" customHeight="1">
      <c r="A12" s="927" t="s">
        <v>1063</v>
      </c>
      <c r="B12" s="955" t="s">
        <v>1114</v>
      </c>
      <c r="C12" s="949">
        <v>0</v>
      </c>
      <c r="D12" s="950">
        <v>0</v>
      </c>
    </row>
    <row r="13" spans="1:4" ht="12.75" customHeight="1">
      <c r="A13" s="927" t="s">
        <v>1065</v>
      </c>
      <c r="B13" s="948" t="s">
        <v>1115</v>
      </c>
      <c r="C13" s="949">
        <v>0</v>
      </c>
      <c r="D13" s="950">
        <v>0</v>
      </c>
    </row>
    <row r="14" spans="1:4" ht="12.75" customHeight="1">
      <c r="A14" s="927" t="s">
        <v>1067</v>
      </c>
      <c r="B14" s="948" t="s">
        <v>1119</v>
      </c>
      <c r="C14" s="949">
        <v>0</v>
      </c>
      <c r="D14" s="950">
        <v>0</v>
      </c>
    </row>
    <row r="15" spans="1:4" ht="12.75" customHeight="1">
      <c r="A15" s="935" t="s">
        <v>1069</v>
      </c>
      <c r="B15" s="951" t="s">
        <v>1120</v>
      </c>
      <c r="C15" s="952">
        <v>0</v>
      </c>
      <c r="D15" s="953">
        <v>0</v>
      </c>
    </row>
    <row r="16" spans="1:4" ht="12.75" customHeight="1">
      <c r="A16" s="927" t="s">
        <v>1070</v>
      </c>
      <c r="B16" s="951" t="s">
        <v>1116</v>
      </c>
      <c r="C16" s="949">
        <v>0</v>
      </c>
      <c r="D16" s="950">
        <v>0</v>
      </c>
    </row>
    <row r="17" spans="1:4" ht="12.75" customHeight="1">
      <c r="A17" s="927" t="s">
        <v>1072</v>
      </c>
      <c r="B17" s="951" t="s">
        <v>1136</v>
      </c>
      <c r="C17" s="949">
        <v>0</v>
      </c>
      <c r="D17" s="950">
        <v>0</v>
      </c>
    </row>
    <row r="18" spans="1:4" ht="12.75" customHeight="1">
      <c r="A18" s="927" t="s">
        <v>1074</v>
      </c>
      <c r="B18" s="954" t="s">
        <v>1135</v>
      </c>
      <c r="C18" s="952">
        <v>0</v>
      </c>
      <c r="D18" s="953">
        <v>0</v>
      </c>
    </row>
    <row r="19" spans="1:4" ht="12.75" customHeight="1">
      <c r="A19" s="927" t="s">
        <v>1075</v>
      </c>
      <c r="B19" s="951" t="s">
        <v>1108</v>
      </c>
      <c r="C19" s="949">
        <v>0</v>
      </c>
      <c r="D19" s="950">
        <v>0</v>
      </c>
    </row>
    <row r="20" spans="1:4" ht="12.75" customHeight="1">
      <c r="A20" s="940" t="s">
        <v>1077</v>
      </c>
      <c r="B20" s="941" t="s">
        <v>1117</v>
      </c>
      <c r="C20" s="942">
        <v>0</v>
      </c>
      <c r="D20" s="930">
        <v>0</v>
      </c>
    </row>
    <row r="21" spans="1:4" ht="12.75" customHeight="1" thickBot="1">
      <c r="A21" s="943" t="s">
        <v>1079</v>
      </c>
      <c r="B21" s="944" t="s">
        <v>1118</v>
      </c>
      <c r="C21" s="945">
        <v>0</v>
      </c>
      <c r="D21" s="947">
        <v>0</v>
      </c>
    </row>
    <row r="22" spans="1:4" ht="12.75">
      <c r="A22" s="916"/>
      <c r="B22" s="916"/>
      <c r="C22" s="916"/>
      <c r="D22" s="916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scale="83" r:id="rId1"/>
  <headerFooter>
    <oddHeader>&amp;L22. melléklet a 8/2014.(V.5.) önkormányzati rendelethez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F62"/>
  <sheetViews>
    <sheetView tabSelected="1" view="pageLayout" workbookViewId="0" topLeftCell="A1">
      <selection activeCell="A4" sqref="A4"/>
    </sheetView>
  </sheetViews>
  <sheetFormatPr defaultColWidth="11.625" defaultRowHeight="12.75"/>
  <cols>
    <col min="1" max="1" width="35.25390625" style="1147" customWidth="1"/>
    <col min="2" max="2" width="16.625" style="1147" customWidth="1"/>
    <col min="3" max="3" width="15.625" style="1147" customWidth="1"/>
    <col min="4" max="4" width="17.375" style="1147" customWidth="1"/>
    <col min="5" max="5" width="17.25390625" style="1147" customWidth="1"/>
    <col min="6" max="6" width="14.625" style="1147" customWidth="1"/>
    <col min="7" max="16384" width="11.625" style="1147" customWidth="1"/>
  </cols>
  <sheetData>
    <row r="2" spans="1:6" ht="12.75">
      <c r="A2" s="1629" t="s">
        <v>1247</v>
      </c>
      <c r="B2" s="1630"/>
      <c r="C2" s="1630"/>
      <c r="D2" s="1630"/>
      <c r="E2" s="1630"/>
      <c r="F2" s="1630"/>
    </row>
    <row r="3" spans="1:6" ht="12.75">
      <c r="A3" s="1630"/>
      <c r="B3" s="1630"/>
      <c r="C3" s="1630"/>
      <c r="D3" s="1630"/>
      <c r="E3" s="1630"/>
      <c r="F3" s="1630"/>
    </row>
    <row r="5" spans="1:6" ht="12.75">
      <c r="A5" s="1621" t="s">
        <v>1081</v>
      </c>
      <c r="B5" s="1621"/>
      <c r="C5" s="1621"/>
      <c r="D5" s="1621"/>
      <c r="E5" s="1621"/>
      <c r="F5" s="1621"/>
    </row>
    <row r="6" spans="1:6" ht="12.75">
      <c r="A6" s="969"/>
      <c r="B6" s="970"/>
      <c r="C6" s="970"/>
      <c r="D6" s="970"/>
      <c r="E6" s="970"/>
      <c r="F6" s="970"/>
    </row>
    <row r="7" spans="1:6" ht="13.5" thickBot="1">
      <c r="A7" s="969"/>
      <c r="B7" s="970"/>
      <c r="C7" s="970"/>
      <c r="D7" s="970"/>
      <c r="E7" s="970"/>
      <c r="F7" s="970"/>
    </row>
    <row r="8" spans="1:6" ht="39" thickTop="1">
      <c r="A8" s="867" t="s">
        <v>1082</v>
      </c>
      <c r="B8" s="868" t="s">
        <v>1138</v>
      </c>
      <c r="C8" s="868" t="s">
        <v>1083</v>
      </c>
      <c r="D8" s="868" t="s">
        <v>1139</v>
      </c>
      <c r="E8" s="868" t="s">
        <v>1140</v>
      </c>
      <c r="F8" s="869" t="s">
        <v>1084</v>
      </c>
    </row>
    <row r="9" spans="1:6" ht="12.75">
      <c r="A9" s="870" t="s">
        <v>1085</v>
      </c>
      <c r="B9" s="974">
        <v>10</v>
      </c>
      <c r="C9" s="974">
        <v>10</v>
      </c>
      <c r="D9" s="974">
        <v>10</v>
      </c>
      <c r="E9" s="974">
        <v>10</v>
      </c>
      <c r="F9" s="975">
        <v>0.002</v>
      </c>
    </row>
    <row r="10" spans="1:6" ht="12.75">
      <c r="A10" s="870" t="s">
        <v>1141</v>
      </c>
      <c r="B10" s="974">
        <v>522</v>
      </c>
      <c r="C10" s="974">
        <v>522</v>
      </c>
      <c r="D10" s="974">
        <v>261</v>
      </c>
      <c r="E10" s="974">
        <v>261</v>
      </c>
      <c r="F10" s="975">
        <v>0.041</v>
      </c>
    </row>
    <row r="11" spans="1:6" ht="12.75">
      <c r="A11" s="870" t="s">
        <v>1086</v>
      </c>
      <c r="B11" s="974">
        <v>2500</v>
      </c>
      <c r="C11" s="974">
        <v>2500</v>
      </c>
      <c r="D11" s="974">
        <v>1250</v>
      </c>
      <c r="E11" s="974">
        <v>2500</v>
      </c>
      <c r="F11" s="975">
        <v>100</v>
      </c>
    </row>
    <row r="12" spans="1:6" ht="12.75">
      <c r="A12" s="870" t="s">
        <v>1142</v>
      </c>
      <c r="B12" s="974">
        <v>9300</v>
      </c>
      <c r="C12" s="974">
        <v>8800</v>
      </c>
      <c r="D12" s="974">
        <v>9300</v>
      </c>
      <c r="E12" s="974">
        <v>8800</v>
      </c>
      <c r="F12" s="975">
        <v>100</v>
      </c>
    </row>
    <row r="13" spans="1:6" ht="12.75">
      <c r="A13" s="870" t="s">
        <v>1087</v>
      </c>
      <c r="B13" s="974"/>
      <c r="C13" s="974">
        <v>500</v>
      </c>
      <c r="D13" s="974"/>
      <c r="E13" s="974">
        <v>500</v>
      </c>
      <c r="F13" s="975">
        <v>100</v>
      </c>
    </row>
    <row r="14" spans="1:6" ht="25.5">
      <c r="A14" s="1166" t="s">
        <v>1088</v>
      </c>
      <c r="B14" s="974">
        <v>357</v>
      </c>
      <c r="C14" s="974">
        <v>357</v>
      </c>
      <c r="D14" s="974">
        <v>200</v>
      </c>
      <c r="E14" s="974">
        <v>200</v>
      </c>
      <c r="F14" s="975">
        <v>1.785</v>
      </c>
    </row>
    <row r="15" spans="1:6" ht="25.5">
      <c r="A15" s="976" t="s">
        <v>1143</v>
      </c>
      <c r="B15" s="974">
        <v>300</v>
      </c>
      <c r="C15" s="974">
        <v>300</v>
      </c>
      <c r="D15" s="974">
        <v>150</v>
      </c>
      <c r="E15" s="974">
        <v>150</v>
      </c>
      <c r="F15" s="975">
        <v>10</v>
      </c>
    </row>
    <row r="16" spans="1:6" ht="12.75">
      <c r="A16" s="977" t="s">
        <v>1089</v>
      </c>
      <c r="B16" s="978">
        <v>20000</v>
      </c>
      <c r="C16" s="978">
        <v>20000</v>
      </c>
      <c r="D16" s="978">
        <v>20000</v>
      </c>
      <c r="E16" s="978">
        <v>20000</v>
      </c>
      <c r="F16" s="979">
        <v>100</v>
      </c>
    </row>
    <row r="17" spans="1:6" ht="12.75">
      <c r="A17" s="977" t="s">
        <v>1090</v>
      </c>
      <c r="B17" s="978">
        <v>116000</v>
      </c>
      <c r="C17" s="978">
        <v>116000</v>
      </c>
      <c r="D17" s="978">
        <v>105500</v>
      </c>
      <c r="E17" s="978">
        <v>105500</v>
      </c>
      <c r="F17" s="979">
        <v>100</v>
      </c>
    </row>
    <row r="18" spans="1:6" ht="13.5" thickBot="1">
      <c r="A18" s="980" t="s">
        <v>449</v>
      </c>
      <c r="B18" s="981">
        <f>SUM(B9:B17)</f>
        <v>148989</v>
      </c>
      <c r="C18" s="981">
        <f>SUM(C9:C17)</f>
        <v>148989</v>
      </c>
      <c r="D18" s="981">
        <f>SUM(D9:D17)</f>
        <v>136671</v>
      </c>
      <c r="E18" s="981">
        <f>SUM(E9:E17)</f>
        <v>137921</v>
      </c>
      <c r="F18" s="982"/>
    </row>
    <row r="19" spans="1:6" ht="13.5" thickTop="1">
      <c r="A19" s="973"/>
      <c r="B19" s="972"/>
      <c r="C19" s="972"/>
      <c r="D19" s="972"/>
      <c r="E19" s="972"/>
      <c r="F19" s="971"/>
    </row>
    <row r="21" spans="1:6" ht="12.75" customHeight="1">
      <c r="A21" s="1620" t="s">
        <v>1132</v>
      </c>
      <c r="B21" s="1620"/>
      <c r="C21" s="1620"/>
      <c r="D21" s="1620"/>
      <c r="E21" s="1620"/>
      <c r="F21" s="1620"/>
    </row>
    <row r="22" ht="13.5" thickBot="1"/>
    <row r="23" spans="1:6" ht="13.5" customHeight="1">
      <c r="A23" s="1622" t="s">
        <v>216</v>
      </c>
      <c r="B23" s="1624" t="s">
        <v>1091</v>
      </c>
      <c r="C23" s="1625"/>
      <c r="D23" s="1625"/>
      <c r="E23" s="1626"/>
      <c r="F23" s="1627" t="s">
        <v>1144</v>
      </c>
    </row>
    <row r="24" spans="1:6" ht="13.5" customHeight="1" thickBot="1">
      <c r="A24" s="1623"/>
      <c r="B24" s="1148" t="s">
        <v>1092</v>
      </c>
      <c r="C24" s="1148" t="s">
        <v>1093</v>
      </c>
      <c r="D24" s="1148" t="s">
        <v>1094</v>
      </c>
      <c r="E24" s="1148" t="s">
        <v>1095</v>
      </c>
      <c r="F24" s="1628"/>
    </row>
    <row r="25" spans="1:6" ht="12.75">
      <c r="A25" s="1149" t="s">
        <v>1086</v>
      </c>
      <c r="B25" s="1150" t="s">
        <v>1175</v>
      </c>
      <c r="C25" s="1150">
        <v>2009</v>
      </c>
      <c r="D25" s="1151">
        <v>2834</v>
      </c>
      <c r="E25" s="1150">
        <v>2014</v>
      </c>
      <c r="F25" s="1152">
        <v>327</v>
      </c>
    </row>
    <row r="26" spans="1:6" ht="12.75">
      <c r="A26" s="1153" t="s">
        <v>1086</v>
      </c>
      <c r="B26" s="1154" t="s">
        <v>1175</v>
      </c>
      <c r="C26" s="1154">
        <v>2010</v>
      </c>
      <c r="D26" s="1155">
        <v>2880</v>
      </c>
      <c r="E26" s="1154">
        <v>2014</v>
      </c>
      <c r="F26" s="1156">
        <v>888</v>
      </c>
    </row>
    <row r="27" spans="1:6" ht="12.75">
      <c r="A27" s="1153" t="s">
        <v>1086</v>
      </c>
      <c r="B27" s="1154" t="s">
        <v>1176</v>
      </c>
      <c r="C27" s="1154">
        <v>2011</v>
      </c>
      <c r="D27" s="1157">
        <v>13000</v>
      </c>
      <c r="E27" s="1154" t="s">
        <v>1096</v>
      </c>
      <c r="F27" s="1156">
        <v>13000</v>
      </c>
    </row>
    <row r="28" spans="1:6" ht="12.75">
      <c r="A28" s="1153" t="s">
        <v>1086</v>
      </c>
      <c r="B28" s="1154" t="s">
        <v>1177</v>
      </c>
      <c r="C28" s="1154">
        <v>2011</v>
      </c>
      <c r="D28" s="1157">
        <v>20000</v>
      </c>
      <c r="E28" s="1154">
        <v>2014</v>
      </c>
      <c r="F28" s="1158">
        <v>15000</v>
      </c>
    </row>
    <row r="29" spans="1:6" ht="12.75">
      <c r="A29" s="1153" t="s">
        <v>1086</v>
      </c>
      <c r="B29" s="1154" t="s">
        <v>1177</v>
      </c>
      <c r="C29" s="1154">
        <v>2011</v>
      </c>
      <c r="D29" s="1157">
        <v>20000</v>
      </c>
      <c r="E29" s="1154">
        <v>2014</v>
      </c>
      <c r="F29" s="1158">
        <v>20000</v>
      </c>
    </row>
    <row r="30" spans="1:6" ht="12.75">
      <c r="A30" s="1153" t="s">
        <v>1086</v>
      </c>
      <c r="B30" s="1154" t="s">
        <v>1178</v>
      </c>
      <c r="C30" s="1154">
        <v>2012</v>
      </c>
      <c r="D30" s="1157">
        <v>18550</v>
      </c>
      <c r="E30" s="1154">
        <v>2014</v>
      </c>
      <c r="F30" s="1158">
        <v>18550</v>
      </c>
    </row>
    <row r="31" spans="1:6" ht="12.75">
      <c r="A31" s="1153" t="s">
        <v>1086</v>
      </c>
      <c r="B31" s="1154" t="s">
        <v>1179</v>
      </c>
      <c r="C31" s="1154">
        <v>2012</v>
      </c>
      <c r="D31" s="1157">
        <v>1200</v>
      </c>
      <c r="E31" s="1154">
        <v>2014</v>
      </c>
      <c r="F31" s="1158">
        <v>724</v>
      </c>
    </row>
    <row r="32" spans="1:6" ht="12.75">
      <c r="A32" s="1153" t="s">
        <v>1086</v>
      </c>
      <c r="B32" s="1154" t="s">
        <v>1180</v>
      </c>
      <c r="C32" s="1154">
        <v>2013</v>
      </c>
      <c r="D32" s="1157">
        <v>1905</v>
      </c>
      <c r="E32" s="1154">
        <v>2014</v>
      </c>
      <c r="F32" s="1158">
        <v>1905</v>
      </c>
    </row>
    <row r="33" spans="1:6" ht="12.75">
      <c r="A33" s="1153" t="s">
        <v>1086</v>
      </c>
      <c r="B33" s="1154" t="s">
        <v>1181</v>
      </c>
      <c r="C33" s="1154">
        <v>2013</v>
      </c>
      <c r="D33" s="1157">
        <v>30000</v>
      </c>
      <c r="E33" s="1154">
        <v>2014</v>
      </c>
      <c r="F33" s="1158">
        <v>30000</v>
      </c>
    </row>
    <row r="34" spans="1:6" ht="12.75">
      <c r="A34" s="1153" t="s">
        <v>1086</v>
      </c>
      <c r="B34" s="1154" t="s">
        <v>1182</v>
      </c>
      <c r="C34" s="1154">
        <v>2013</v>
      </c>
      <c r="D34" s="1157">
        <v>103203</v>
      </c>
      <c r="E34" s="1154">
        <v>2014</v>
      </c>
      <c r="F34" s="1158">
        <v>103203</v>
      </c>
    </row>
    <row r="35" spans="1:6" ht="12.75">
      <c r="A35" s="1615" t="s">
        <v>1097</v>
      </c>
      <c r="B35" s="1616"/>
      <c r="C35" s="1616"/>
      <c r="D35" s="1616"/>
      <c r="E35" s="1616"/>
      <c r="F35" s="1159">
        <f>SUM(F25:F34)</f>
        <v>203597</v>
      </c>
    </row>
    <row r="36" spans="1:6" ht="12.75">
      <c r="A36" s="1153" t="s">
        <v>1090</v>
      </c>
      <c r="B36" s="1154" t="s">
        <v>1183</v>
      </c>
      <c r="C36" s="1154">
        <v>2009</v>
      </c>
      <c r="D36" s="1157">
        <v>5000</v>
      </c>
      <c r="E36" s="1154">
        <v>2014</v>
      </c>
      <c r="F36" s="1158">
        <v>2940</v>
      </c>
    </row>
    <row r="37" spans="1:6" ht="12.75">
      <c r="A37" s="1153" t="s">
        <v>1090</v>
      </c>
      <c r="B37" s="1154" t="s">
        <v>1184</v>
      </c>
      <c r="C37" s="1154">
        <v>2010</v>
      </c>
      <c r="D37" s="1157">
        <v>8000</v>
      </c>
      <c r="E37" s="1154">
        <v>2014</v>
      </c>
      <c r="F37" s="1158">
        <v>8000</v>
      </c>
    </row>
    <row r="38" spans="1:6" ht="12.75">
      <c r="A38" s="1153" t="s">
        <v>1090</v>
      </c>
      <c r="B38" s="1154" t="s">
        <v>1185</v>
      </c>
      <c r="C38" s="1154">
        <v>2010</v>
      </c>
      <c r="D38" s="1157">
        <v>15000</v>
      </c>
      <c r="E38" s="1154">
        <v>2014</v>
      </c>
      <c r="F38" s="1158">
        <v>15000</v>
      </c>
    </row>
    <row r="39" spans="1:6" ht="12.75">
      <c r="A39" s="1153" t="s">
        <v>1090</v>
      </c>
      <c r="B39" s="1154" t="s">
        <v>1186</v>
      </c>
      <c r="C39" s="1154">
        <v>2011</v>
      </c>
      <c r="D39" s="1157">
        <v>9700</v>
      </c>
      <c r="E39" s="1154">
        <v>2014</v>
      </c>
      <c r="F39" s="1158">
        <v>9700</v>
      </c>
    </row>
    <row r="40" spans="1:6" ht="12.75">
      <c r="A40" s="1153" t="s">
        <v>1090</v>
      </c>
      <c r="B40" s="1154" t="s">
        <v>1187</v>
      </c>
      <c r="C40" s="1154">
        <v>2011</v>
      </c>
      <c r="D40" s="1157">
        <v>34871</v>
      </c>
      <c r="E40" s="1154" t="s">
        <v>1096</v>
      </c>
      <c r="F40" s="1156">
        <v>34871</v>
      </c>
    </row>
    <row r="41" spans="1:6" ht="12.75">
      <c r="A41" s="1153" t="s">
        <v>1090</v>
      </c>
      <c r="B41" s="1154" t="s">
        <v>1188</v>
      </c>
      <c r="C41" s="1154">
        <v>2011</v>
      </c>
      <c r="D41" s="1157">
        <v>5000</v>
      </c>
      <c r="E41" s="1154">
        <v>2014</v>
      </c>
      <c r="F41" s="1158">
        <v>5000</v>
      </c>
    </row>
    <row r="42" spans="1:6" ht="12.75">
      <c r="A42" s="1153" t="s">
        <v>1090</v>
      </c>
      <c r="B42" s="1154" t="s">
        <v>1189</v>
      </c>
      <c r="C42" s="1154">
        <v>2012</v>
      </c>
      <c r="D42" s="1157">
        <v>7400</v>
      </c>
      <c r="E42" s="1154">
        <v>2014</v>
      </c>
      <c r="F42" s="1158">
        <v>7400</v>
      </c>
    </row>
    <row r="43" spans="1:6" ht="12.75">
      <c r="A43" s="1153" t="s">
        <v>1090</v>
      </c>
      <c r="B43" s="1154" t="s">
        <v>1190</v>
      </c>
      <c r="C43" s="1154">
        <v>2012</v>
      </c>
      <c r="D43" s="1157">
        <v>7841</v>
      </c>
      <c r="E43" s="1154">
        <v>2014</v>
      </c>
      <c r="F43" s="1158">
        <v>7841</v>
      </c>
    </row>
    <row r="44" spans="1:6" ht="12.75">
      <c r="A44" s="1153" t="s">
        <v>1090</v>
      </c>
      <c r="B44" s="1154" t="s">
        <v>1191</v>
      </c>
      <c r="C44" s="1154">
        <v>2012</v>
      </c>
      <c r="D44" s="1157">
        <v>2500</v>
      </c>
      <c r="E44" s="1154">
        <v>2014</v>
      </c>
      <c r="F44" s="1158">
        <v>2500</v>
      </c>
    </row>
    <row r="45" spans="1:6" ht="12.75">
      <c r="A45" s="1153" t="s">
        <v>1090</v>
      </c>
      <c r="B45" s="1160" t="s">
        <v>1191</v>
      </c>
      <c r="C45" s="1160">
        <v>2013</v>
      </c>
      <c r="D45" s="1161">
        <v>2800</v>
      </c>
      <c r="E45" s="1160">
        <v>2014</v>
      </c>
      <c r="F45" s="1162">
        <v>2800</v>
      </c>
    </row>
    <row r="46" spans="1:6" ht="12.75">
      <c r="A46" s="1153" t="s">
        <v>1090</v>
      </c>
      <c r="B46" s="1160" t="s">
        <v>1192</v>
      </c>
      <c r="C46" s="1160">
        <v>2013</v>
      </c>
      <c r="D46" s="1161">
        <v>7308</v>
      </c>
      <c r="E46" s="1160">
        <v>2014</v>
      </c>
      <c r="F46" s="1162">
        <v>7308</v>
      </c>
    </row>
    <row r="47" spans="1:6" ht="13.5" thickBot="1">
      <c r="A47" s="1617" t="s">
        <v>1098</v>
      </c>
      <c r="B47" s="1618"/>
      <c r="C47" s="1618"/>
      <c r="D47" s="1618"/>
      <c r="E47" s="1618"/>
      <c r="F47" s="1163">
        <f>SUM(F36:F46)</f>
        <v>103360</v>
      </c>
    </row>
    <row r="48" spans="1:6" ht="12.75">
      <c r="A48" s="1164"/>
      <c r="B48" s="1164"/>
      <c r="C48" s="1164"/>
      <c r="D48" s="1164"/>
      <c r="E48" s="1164"/>
      <c r="F48" s="1165"/>
    </row>
    <row r="49" spans="1:6" ht="12.75">
      <c r="A49" s="1619" t="s">
        <v>1099</v>
      </c>
      <c r="B49" s="1619"/>
      <c r="C49" s="1619"/>
      <c r="D49" s="1619"/>
      <c r="E49" s="1619"/>
      <c r="F49" s="1619"/>
    </row>
    <row r="51" spans="1:6" ht="12.75" customHeight="1">
      <c r="A51" s="1620" t="s">
        <v>1146</v>
      </c>
      <c r="B51" s="1620"/>
      <c r="C51" s="1620"/>
      <c r="D51" s="1620"/>
      <c r="E51" s="1620"/>
      <c r="F51" s="1620"/>
    </row>
    <row r="52" ht="13.5" thickBot="1"/>
    <row r="53" spans="1:6" ht="12.75" customHeight="1">
      <c r="A53" s="1613" t="s">
        <v>216</v>
      </c>
      <c r="B53" s="1614"/>
      <c r="C53" s="1607" t="s">
        <v>1100</v>
      </c>
      <c r="D53" s="1607"/>
      <c r="E53" s="1607"/>
      <c r="F53" s="1609" t="s">
        <v>1145</v>
      </c>
    </row>
    <row r="54" spans="1:6" ht="12.75">
      <c r="A54" s="1615"/>
      <c r="B54" s="1616"/>
      <c r="C54" s="1217" t="s">
        <v>1101</v>
      </c>
      <c r="D54" s="1218" t="s">
        <v>1093</v>
      </c>
      <c r="E54" s="1218" t="s">
        <v>1102</v>
      </c>
      <c r="F54" s="1610"/>
    </row>
    <row r="55" spans="1:6" ht="13.5" thickBot="1">
      <c r="A55" s="1605" t="s">
        <v>1171</v>
      </c>
      <c r="B55" s="1606"/>
      <c r="C55" s="1215" t="s">
        <v>1172</v>
      </c>
      <c r="D55" s="1219">
        <v>2011</v>
      </c>
      <c r="E55" s="1220">
        <v>25000</v>
      </c>
      <c r="F55" s="1216">
        <v>20090</v>
      </c>
    </row>
    <row r="58" spans="1:4" ht="12.75">
      <c r="A58" s="1598" t="s">
        <v>1248</v>
      </c>
      <c r="B58" s="1599"/>
      <c r="C58" s="1599"/>
      <c r="D58" s="1599"/>
    </row>
    <row r="59" ht="13.5" thickBot="1"/>
    <row r="60" spans="1:6" ht="12.75">
      <c r="A60" s="1600" t="s">
        <v>216</v>
      </c>
      <c r="B60" s="1601"/>
      <c r="C60" s="1607" t="s">
        <v>1092</v>
      </c>
      <c r="D60" s="1609" t="s">
        <v>1145</v>
      </c>
      <c r="E60" s="1611"/>
      <c r="F60" s="1604"/>
    </row>
    <row r="61" spans="1:6" ht="12.75">
      <c r="A61" s="1602"/>
      <c r="B61" s="1603"/>
      <c r="C61" s="1608"/>
      <c r="D61" s="1610"/>
      <c r="E61" s="1612"/>
      <c r="F61" s="1604"/>
    </row>
    <row r="62" spans="1:6" ht="13.5" thickBot="1">
      <c r="A62" s="1605" t="s">
        <v>1344</v>
      </c>
      <c r="B62" s="1606"/>
      <c r="C62" s="1215" t="s">
        <v>1249</v>
      </c>
      <c r="D62" s="1216">
        <v>28100</v>
      </c>
      <c r="E62" s="1213"/>
      <c r="F62" s="1214"/>
    </row>
  </sheetData>
  <sheetProtection/>
  <mergeCells count="21">
    <mergeCell ref="A5:F5"/>
    <mergeCell ref="A21:F21"/>
    <mergeCell ref="A23:A24"/>
    <mergeCell ref="B23:E23"/>
    <mergeCell ref="F23:F24"/>
    <mergeCell ref="A2:F3"/>
    <mergeCell ref="A53:B54"/>
    <mergeCell ref="C53:E53"/>
    <mergeCell ref="F53:F54"/>
    <mergeCell ref="A55:B55"/>
    <mergeCell ref="A35:E35"/>
    <mergeCell ref="A47:E47"/>
    <mergeCell ref="A49:F49"/>
    <mergeCell ref="A51:F51"/>
    <mergeCell ref="A58:D58"/>
    <mergeCell ref="A60:B61"/>
    <mergeCell ref="F60:F61"/>
    <mergeCell ref="A62:B62"/>
    <mergeCell ref="C60:C61"/>
    <mergeCell ref="D60:D61"/>
    <mergeCell ref="E60:E61"/>
  </mergeCells>
  <printOptions/>
  <pageMargins left="0.7" right="0.7" top="0.75" bottom="0.75" header="0.3" footer="0.3"/>
  <pageSetup horizontalDpi="600" verticalDpi="600" orientation="portrait" paperSize="9" scale="76" r:id="rId1"/>
  <headerFooter>
    <oddHeader>&amp;L23. melléklet a 8/2014.(V.5.)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view="pageLayout" zoomScaleSheetLayoutView="73" workbookViewId="0" topLeftCell="A1">
      <selection activeCell="A1" sqref="A1"/>
    </sheetView>
  </sheetViews>
  <sheetFormatPr defaultColWidth="9.00390625" defaultRowHeight="12.75"/>
  <cols>
    <col min="1" max="1" width="59.25390625" style="561" customWidth="1"/>
    <col min="2" max="2" width="11.375" style="561" customWidth="1"/>
    <col min="3" max="4" width="14.25390625" style="561" customWidth="1"/>
    <col min="5" max="5" width="10.75390625" style="561" customWidth="1"/>
    <col min="6" max="7" width="14.125" style="561" customWidth="1"/>
    <col min="8" max="8" width="10.125" style="561" customWidth="1"/>
    <col min="9" max="10" width="14.00390625" style="561" customWidth="1"/>
    <col min="11" max="11" width="14.625" style="561" customWidth="1"/>
    <col min="12" max="12" width="14.00390625" style="561" customWidth="1"/>
    <col min="13" max="13" width="10.875" style="561" customWidth="1"/>
    <col min="14" max="15" width="14.00390625" style="561" customWidth="1"/>
    <col min="16" max="16" width="11.75390625" style="561" customWidth="1"/>
    <col min="17" max="18" width="14.125" style="561" customWidth="1"/>
    <col min="19" max="19" width="11.25390625" style="561" customWidth="1"/>
    <col min="20" max="21" width="14.25390625" style="561" customWidth="1"/>
    <col min="22" max="16384" width="9.125" style="561" customWidth="1"/>
  </cols>
  <sheetData>
    <row r="1" ht="15.75">
      <c r="A1" s="560"/>
    </row>
    <row r="2" spans="1:20" ht="15.75">
      <c r="A2" s="1341" t="s">
        <v>865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341"/>
      <c r="O2" s="1341"/>
      <c r="P2" s="1341"/>
      <c r="Q2" s="1341"/>
      <c r="R2" s="1341"/>
      <c r="S2" s="1341"/>
      <c r="T2" s="1341"/>
    </row>
    <row r="3" ht="16.5" thickBot="1"/>
    <row r="4" spans="1:21" ht="45.75" customHeight="1">
      <c r="A4" s="562" t="s">
        <v>866</v>
      </c>
      <c r="B4" s="1342" t="s">
        <v>867</v>
      </c>
      <c r="C4" s="1343"/>
      <c r="D4" s="1344"/>
      <c r="E4" s="1342" t="s">
        <v>868</v>
      </c>
      <c r="F4" s="1343"/>
      <c r="G4" s="1344"/>
      <c r="H4" s="1342" t="s">
        <v>1240</v>
      </c>
      <c r="I4" s="1343"/>
      <c r="J4" s="1344"/>
      <c r="K4" s="1342" t="s">
        <v>869</v>
      </c>
      <c r="L4" s="1348"/>
      <c r="M4" s="1342" t="s">
        <v>870</v>
      </c>
      <c r="N4" s="1343"/>
      <c r="O4" s="1344"/>
      <c r="P4" s="1342" t="s">
        <v>871</v>
      </c>
      <c r="Q4" s="1343"/>
      <c r="R4" s="1344"/>
      <c r="S4" s="1345" t="s">
        <v>872</v>
      </c>
      <c r="T4" s="1346"/>
      <c r="U4" s="1347"/>
    </row>
    <row r="5" spans="1:21" ht="18.75" customHeight="1">
      <c r="A5" s="563"/>
      <c r="B5" s="564" t="s">
        <v>873</v>
      </c>
      <c r="C5" s="695" t="s">
        <v>33</v>
      </c>
      <c r="D5" s="564" t="s">
        <v>321</v>
      </c>
      <c r="E5" s="565" t="s">
        <v>873</v>
      </c>
      <c r="F5" s="695" t="s">
        <v>33</v>
      </c>
      <c r="G5" s="564" t="s">
        <v>321</v>
      </c>
      <c r="H5" s="565" t="s">
        <v>873</v>
      </c>
      <c r="I5" s="695" t="s">
        <v>33</v>
      </c>
      <c r="J5" s="564" t="s">
        <v>321</v>
      </c>
      <c r="K5" s="695" t="s">
        <v>33</v>
      </c>
      <c r="L5" s="564" t="s">
        <v>321</v>
      </c>
      <c r="M5" s="564" t="s">
        <v>873</v>
      </c>
      <c r="N5" s="695" t="s">
        <v>33</v>
      </c>
      <c r="O5" s="564" t="s">
        <v>321</v>
      </c>
      <c r="P5" s="564" t="s">
        <v>873</v>
      </c>
      <c r="Q5" s="564" t="s">
        <v>33</v>
      </c>
      <c r="R5" s="566" t="s">
        <v>321</v>
      </c>
      <c r="S5" s="566" t="s">
        <v>874</v>
      </c>
      <c r="T5" s="564" t="s">
        <v>33</v>
      </c>
      <c r="U5" s="603" t="s">
        <v>321</v>
      </c>
    </row>
    <row r="6" spans="1:21" ht="19.5" customHeight="1">
      <c r="A6" s="567" t="s">
        <v>875</v>
      </c>
      <c r="B6" s="568">
        <f aca="true" t="shared" si="0" ref="B6:P6">SUM(B7,B8,B12)</f>
        <v>1852019</v>
      </c>
      <c r="C6" s="696">
        <v>2043369</v>
      </c>
      <c r="D6" s="568">
        <f t="shared" si="0"/>
        <v>2052796</v>
      </c>
      <c r="E6" s="568">
        <f t="shared" si="0"/>
        <v>2000</v>
      </c>
      <c r="F6" s="696">
        <v>1872</v>
      </c>
      <c r="G6" s="568">
        <f t="shared" si="0"/>
        <v>1880</v>
      </c>
      <c r="H6" s="568">
        <f t="shared" si="0"/>
        <v>7723</v>
      </c>
      <c r="I6" s="696">
        <v>489</v>
      </c>
      <c r="J6" s="568">
        <f t="shared" si="0"/>
        <v>489</v>
      </c>
      <c r="K6" s="696">
        <v>6399</v>
      </c>
      <c r="L6" s="568">
        <f t="shared" si="0"/>
        <v>8041</v>
      </c>
      <c r="M6" s="568">
        <f t="shared" si="0"/>
        <v>168371</v>
      </c>
      <c r="N6" s="568">
        <v>199230</v>
      </c>
      <c r="O6" s="568">
        <f>SUM(O7,O8,O12)</f>
        <v>179070</v>
      </c>
      <c r="P6" s="568">
        <f t="shared" si="0"/>
        <v>15466</v>
      </c>
      <c r="Q6" s="568">
        <f>SUM(Q7,Q8,Q12)</f>
        <v>30949</v>
      </c>
      <c r="R6" s="569">
        <v>30951</v>
      </c>
      <c r="S6" s="569">
        <f>SUM(B6+E6+H6+M6+P6)</f>
        <v>2045579</v>
      </c>
      <c r="T6" s="568">
        <f>SUM(C6+F6+I6+K6+N6+Q6)</f>
        <v>2282308</v>
      </c>
      <c r="U6" s="604">
        <f>SUM(D6+G6+J6+L6+O6+R6)</f>
        <v>2273227</v>
      </c>
    </row>
    <row r="7" spans="1:21" s="573" customFormat="1" ht="19.5" customHeight="1">
      <c r="A7" s="570" t="s">
        <v>876</v>
      </c>
      <c r="B7" s="571"/>
      <c r="C7" s="697"/>
      <c r="D7" s="571"/>
      <c r="E7" s="571"/>
      <c r="F7" s="697"/>
      <c r="G7" s="571"/>
      <c r="H7" s="571">
        <v>1000</v>
      </c>
      <c r="I7" s="697">
        <v>296</v>
      </c>
      <c r="J7" s="571">
        <v>296</v>
      </c>
      <c r="K7" s="697"/>
      <c r="L7" s="571">
        <v>453</v>
      </c>
      <c r="M7" s="571">
        <v>0</v>
      </c>
      <c r="N7" s="571"/>
      <c r="O7" s="571"/>
      <c r="P7" s="571">
        <v>0</v>
      </c>
      <c r="Q7" s="572"/>
      <c r="R7" s="572"/>
      <c r="S7" s="569">
        <f aca="true" t="shared" si="1" ref="S7:S57">SUM(B7+E7+H7+M7+P7)</f>
        <v>1000</v>
      </c>
      <c r="T7" s="568">
        <f aca="true" t="shared" si="2" ref="T7:T58">SUM(C7+F7+I7+K7+N7+Q7)</f>
        <v>296</v>
      </c>
      <c r="U7" s="604">
        <f aca="true" t="shared" si="3" ref="U7:U58">SUM(D7+G7+J7+L7+O7+R7)</f>
        <v>749</v>
      </c>
    </row>
    <row r="8" spans="1:21" s="573" customFormat="1" ht="19.5" customHeight="1">
      <c r="A8" s="570" t="s">
        <v>877</v>
      </c>
      <c r="B8" s="571">
        <f aca="true" t="shared" si="4" ref="B8:R8">SUM(B9:B11)</f>
        <v>80139</v>
      </c>
      <c r="C8" s="697">
        <v>242893</v>
      </c>
      <c r="D8" s="571">
        <f t="shared" si="4"/>
        <v>250039</v>
      </c>
      <c r="E8" s="571">
        <f t="shared" si="4"/>
        <v>0</v>
      </c>
      <c r="F8" s="697">
        <v>0</v>
      </c>
      <c r="G8" s="571">
        <f t="shared" si="4"/>
        <v>8</v>
      </c>
      <c r="H8" s="571">
        <f t="shared" si="4"/>
        <v>6723</v>
      </c>
      <c r="I8" s="697">
        <v>193</v>
      </c>
      <c r="J8" s="571">
        <f t="shared" si="4"/>
        <v>193</v>
      </c>
      <c r="K8" s="697">
        <v>6399</v>
      </c>
      <c r="L8" s="571">
        <f t="shared" si="4"/>
        <v>7588</v>
      </c>
      <c r="M8" s="571">
        <f t="shared" si="4"/>
        <v>168371</v>
      </c>
      <c r="N8" s="571">
        <v>199230</v>
      </c>
      <c r="O8" s="571">
        <f t="shared" si="4"/>
        <v>179070</v>
      </c>
      <c r="P8" s="571">
        <f t="shared" si="4"/>
        <v>15466</v>
      </c>
      <c r="Q8" s="571">
        <f t="shared" si="4"/>
        <v>30841</v>
      </c>
      <c r="R8" s="571">
        <f t="shared" si="4"/>
        <v>30852</v>
      </c>
      <c r="S8" s="569">
        <f t="shared" si="1"/>
        <v>270699</v>
      </c>
      <c r="T8" s="568">
        <f t="shared" si="2"/>
        <v>479556</v>
      </c>
      <c r="U8" s="604">
        <f t="shared" si="3"/>
        <v>467750</v>
      </c>
    </row>
    <row r="9" spans="1:21" ht="30" customHeight="1">
      <c r="A9" s="574" t="s">
        <v>878</v>
      </c>
      <c r="B9" s="575">
        <v>47472</v>
      </c>
      <c r="C9" s="698">
        <v>103634</v>
      </c>
      <c r="D9" s="575">
        <v>111060</v>
      </c>
      <c r="E9" s="575"/>
      <c r="F9" s="698"/>
      <c r="G9" s="575"/>
      <c r="H9" s="575">
        <v>6048</v>
      </c>
      <c r="I9" s="698">
        <v>136</v>
      </c>
      <c r="J9" s="575">
        <v>136</v>
      </c>
      <c r="K9" s="698">
        <v>5781</v>
      </c>
      <c r="L9" s="575">
        <v>7439</v>
      </c>
      <c r="M9" s="575">
        <v>129030</v>
      </c>
      <c r="N9" s="575">
        <v>151816</v>
      </c>
      <c r="O9" s="575">
        <v>134337</v>
      </c>
      <c r="P9" s="575">
        <v>12435</v>
      </c>
      <c r="Q9" s="576">
        <v>21409</v>
      </c>
      <c r="R9" s="576">
        <v>21419</v>
      </c>
      <c r="S9" s="569">
        <f t="shared" si="1"/>
        <v>194985</v>
      </c>
      <c r="T9" s="568">
        <f t="shared" si="2"/>
        <v>282776</v>
      </c>
      <c r="U9" s="604">
        <f t="shared" si="3"/>
        <v>274391</v>
      </c>
    </row>
    <row r="10" spans="1:21" ht="19.5" customHeight="1">
      <c r="A10" s="577" t="s">
        <v>879</v>
      </c>
      <c r="B10" s="575">
        <v>29667</v>
      </c>
      <c r="C10" s="698">
        <v>122950</v>
      </c>
      <c r="D10" s="575">
        <v>115295</v>
      </c>
      <c r="E10" s="575"/>
      <c r="F10" s="698"/>
      <c r="G10" s="575"/>
      <c r="H10" s="575">
        <v>475</v>
      </c>
      <c r="I10" s="698">
        <v>37</v>
      </c>
      <c r="J10" s="575">
        <v>37</v>
      </c>
      <c r="K10" s="698">
        <v>438</v>
      </c>
      <c r="L10" s="575">
        <v>72</v>
      </c>
      <c r="M10" s="575">
        <v>39341</v>
      </c>
      <c r="N10" s="575">
        <v>47414</v>
      </c>
      <c r="O10" s="575">
        <v>44081</v>
      </c>
      <c r="P10" s="575">
        <v>3031</v>
      </c>
      <c r="Q10" s="576">
        <v>8742</v>
      </c>
      <c r="R10" s="576">
        <v>8743</v>
      </c>
      <c r="S10" s="569">
        <f t="shared" si="1"/>
        <v>72514</v>
      </c>
      <c r="T10" s="568">
        <f t="shared" si="2"/>
        <v>179581</v>
      </c>
      <c r="U10" s="604">
        <f t="shared" si="3"/>
        <v>168228</v>
      </c>
    </row>
    <row r="11" spans="1:21" ht="19.5" customHeight="1">
      <c r="A11" s="577" t="s">
        <v>880</v>
      </c>
      <c r="B11" s="575">
        <v>3000</v>
      </c>
      <c r="C11" s="698">
        <v>16309</v>
      </c>
      <c r="D11" s="575">
        <v>23684</v>
      </c>
      <c r="E11" s="575"/>
      <c r="F11" s="698"/>
      <c r="G11" s="575">
        <v>8</v>
      </c>
      <c r="H11" s="575">
        <v>200</v>
      </c>
      <c r="I11" s="698">
        <v>20</v>
      </c>
      <c r="J11" s="575">
        <v>20</v>
      </c>
      <c r="K11" s="698">
        <v>180</v>
      </c>
      <c r="L11" s="575">
        <v>77</v>
      </c>
      <c r="M11" s="575"/>
      <c r="N11" s="575"/>
      <c r="O11" s="575">
        <v>652</v>
      </c>
      <c r="P11" s="575"/>
      <c r="Q11" s="576">
        <v>690</v>
      </c>
      <c r="R11" s="576">
        <v>690</v>
      </c>
      <c r="S11" s="569">
        <f t="shared" si="1"/>
        <v>3200</v>
      </c>
      <c r="T11" s="568">
        <f t="shared" si="2"/>
        <v>17199</v>
      </c>
      <c r="U11" s="604">
        <f t="shared" si="3"/>
        <v>25131</v>
      </c>
    </row>
    <row r="12" spans="1:21" s="573" customFormat="1" ht="19.5" customHeight="1">
      <c r="A12" s="570" t="s">
        <v>881</v>
      </c>
      <c r="B12" s="571">
        <f aca="true" t="shared" si="5" ref="B12:R12">SUM(B13,B20,B23,B24,B25,B26)</f>
        <v>1771880</v>
      </c>
      <c r="C12" s="697">
        <v>1800476</v>
      </c>
      <c r="D12" s="571">
        <f t="shared" si="5"/>
        <v>1802757</v>
      </c>
      <c r="E12" s="571">
        <f t="shared" si="5"/>
        <v>2000</v>
      </c>
      <c r="F12" s="697">
        <v>1872</v>
      </c>
      <c r="G12" s="571">
        <f t="shared" si="5"/>
        <v>1872</v>
      </c>
      <c r="H12" s="571">
        <f t="shared" si="5"/>
        <v>0</v>
      </c>
      <c r="I12" s="697">
        <v>0</v>
      </c>
      <c r="J12" s="571">
        <f t="shared" si="5"/>
        <v>0</v>
      </c>
      <c r="K12" s="697">
        <v>0</v>
      </c>
      <c r="L12" s="571">
        <f t="shared" si="5"/>
        <v>0</v>
      </c>
      <c r="M12" s="571">
        <f t="shared" si="5"/>
        <v>0</v>
      </c>
      <c r="N12" s="571">
        <v>0</v>
      </c>
      <c r="O12" s="571">
        <f t="shared" si="5"/>
        <v>0</v>
      </c>
      <c r="P12" s="571">
        <f t="shared" si="5"/>
        <v>0</v>
      </c>
      <c r="Q12" s="571">
        <f t="shared" si="5"/>
        <v>108</v>
      </c>
      <c r="R12" s="571">
        <f t="shared" si="5"/>
        <v>99</v>
      </c>
      <c r="S12" s="569">
        <f t="shared" si="1"/>
        <v>1773880</v>
      </c>
      <c r="T12" s="568">
        <f t="shared" si="2"/>
        <v>1802456</v>
      </c>
      <c r="U12" s="604">
        <f t="shared" si="3"/>
        <v>1804728</v>
      </c>
    </row>
    <row r="13" spans="1:21" ht="19.5" customHeight="1">
      <c r="A13" s="577" t="s">
        <v>882</v>
      </c>
      <c r="B13" s="575">
        <f>SUM(B14:B19)</f>
        <v>1567000</v>
      </c>
      <c r="C13" s="698">
        <v>1589500</v>
      </c>
      <c r="D13" s="575">
        <f aca="true" t="shared" si="6" ref="D13:R13">SUM(D14:D19)</f>
        <v>1593816</v>
      </c>
      <c r="E13" s="575">
        <f t="shared" si="6"/>
        <v>0</v>
      </c>
      <c r="F13" s="698"/>
      <c r="G13" s="575">
        <f t="shared" si="6"/>
        <v>0</v>
      </c>
      <c r="H13" s="575">
        <f t="shared" si="6"/>
        <v>0</v>
      </c>
      <c r="I13" s="698"/>
      <c r="J13" s="575">
        <f t="shared" si="6"/>
        <v>0</v>
      </c>
      <c r="K13" s="698"/>
      <c r="L13" s="575">
        <f t="shared" si="6"/>
        <v>0</v>
      </c>
      <c r="M13" s="575">
        <f t="shared" si="6"/>
        <v>0</v>
      </c>
      <c r="N13" s="575">
        <v>0</v>
      </c>
      <c r="O13" s="575">
        <f t="shared" si="6"/>
        <v>0</v>
      </c>
      <c r="P13" s="575">
        <f t="shared" si="6"/>
        <v>0</v>
      </c>
      <c r="Q13" s="575">
        <f t="shared" si="6"/>
        <v>0</v>
      </c>
      <c r="R13" s="575">
        <f t="shared" si="6"/>
        <v>0</v>
      </c>
      <c r="S13" s="569">
        <f t="shared" si="1"/>
        <v>1567000</v>
      </c>
      <c r="T13" s="568">
        <f t="shared" si="2"/>
        <v>1589500</v>
      </c>
      <c r="U13" s="604">
        <f t="shared" si="3"/>
        <v>1593816</v>
      </c>
    </row>
    <row r="14" spans="1:21" s="581" customFormat="1" ht="19.5" customHeight="1">
      <c r="A14" s="578" t="s">
        <v>883</v>
      </c>
      <c r="B14" s="579">
        <v>305000</v>
      </c>
      <c r="C14" s="699">
        <v>311000</v>
      </c>
      <c r="D14" s="579">
        <v>312985</v>
      </c>
      <c r="E14" s="579"/>
      <c r="F14" s="699"/>
      <c r="G14" s="579"/>
      <c r="H14" s="579"/>
      <c r="I14" s="699"/>
      <c r="J14" s="579"/>
      <c r="K14" s="699"/>
      <c r="L14" s="579"/>
      <c r="M14" s="579"/>
      <c r="N14" s="579"/>
      <c r="O14" s="579"/>
      <c r="P14" s="579"/>
      <c r="Q14" s="580"/>
      <c r="R14" s="580"/>
      <c r="S14" s="569">
        <f t="shared" si="1"/>
        <v>305000</v>
      </c>
      <c r="T14" s="568">
        <f t="shared" si="2"/>
        <v>311000</v>
      </c>
      <c r="U14" s="604">
        <f t="shared" si="3"/>
        <v>312985</v>
      </c>
    </row>
    <row r="15" spans="1:21" s="581" customFormat="1" ht="19.5" customHeight="1">
      <c r="A15" s="578" t="s">
        <v>884</v>
      </c>
      <c r="B15" s="579">
        <v>90000</v>
      </c>
      <c r="C15" s="699">
        <v>103000</v>
      </c>
      <c r="D15" s="579">
        <v>104680</v>
      </c>
      <c r="E15" s="579"/>
      <c r="F15" s="699"/>
      <c r="G15" s="579"/>
      <c r="H15" s="579"/>
      <c r="I15" s="699"/>
      <c r="J15" s="579"/>
      <c r="K15" s="699"/>
      <c r="L15" s="579"/>
      <c r="M15" s="579"/>
      <c r="N15" s="579"/>
      <c r="O15" s="579"/>
      <c r="P15" s="579"/>
      <c r="Q15" s="580"/>
      <c r="R15" s="580"/>
      <c r="S15" s="569">
        <f t="shared" si="1"/>
        <v>90000</v>
      </c>
      <c r="T15" s="568">
        <f t="shared" si="2"/>
        <v>103000</v>
      </c>
      <c r="U15" s="604">
        <f t="shared" si="3"/>
        <v>104680</v>
      </c>
    </row>
    <row r="16" spans="1:21" s="581" customFormat="1" ht="19.5" customHeight="1">
      <c r="A16" s="578" t="s">
        <v>885</v>
      </c>
      <c r="B16" s="579">
        <v>22000</v>
      </c>
      <c r="C16" s="699">
        <v>27000</v>
      </c>
      <c r="D16" s="579">
        <v>27054</v>
      </c>
      <c r="E16" s="579"/>
      <c r="F16" s="699"/>
      <c r="G16" s="579"/>
      <c r="H16" s="579"/>
      <c r="I16" s="699"/>
      <c r="J16" s="579"/>
      <c r="K16" s="699"/>
      <c r="L16" s="579"/>
      <c r="M16" s="579"/>
      <c r="N16" s="579"/>
      <c r="O16" s="579"/>
      <c r="P16" s="579"/>
      <c r="Q16" s="580"/>
      <c r="R16" s="580"/>
      <c r="S16" s="569">
        <f t="shared" si="1"/>
        <v>22000</v>
      </c>
      <c r="T16" s="568">
        <f t="shared" si="2"/>
        <v>27000</v>
      </c>
      <c r="U16" s="604">
        <f t="shared" si="3"/>
        <v>27054</v>
      </c>
    </row>
    <row r="17" spans="1:21" s="581" customFormat="1" ht="19.5" customHeight="1">
      <c r="A17" s="578" t="s">
        <v>886</v>
      </c>
      <c r="B17" s="579">
        <v>1135000</v>
      </c>
      <c r="C17" s="699">
        <v>1133500</v>
      </c>
      <c r="D17" s="579">
        <v>1133002</v>
      </c>
      <c r="E17" s="579"/>
      <c r="F17" s="699"/>
      <c r="G17" s="579"/>
      <c r="H17" s="579"/>
      <c r="I17" s="699"/>
      <c r="J17" s="579"/>
      <c r="K17" s="699"/>
      <c r="L17" s="579"/>
      <c r="M17" s="579"/>
      <c r="N17" s="579"/>
      <c r="O17" s="579"/>
      <c r="P17" s="579"/>
      <c r="Q17" s="580"/>
      <c r="R17" s="580"/>
      <c r="S17" s="569">
        <f t="shared" si="1"/>
        <v>1135000</v>
      </c>
      <c r="T17" s="568">
        <f t="shared" si="2"/>
        <v>1133500</v>
      </c>
      <c r="U17" s="604">
        <f t="shared" si="3"/>
        <v>1133002</v>
      </c>
    </row>
    <row r="18" spans="1:21" s="581" customFormat="1" ht="19.5" customHeight="1">
      <c r="A18" s="578" t="s">
        <v>887</v>
      </c>
      <c r="B18" s="582">
        <v>14000</v>
      </c>
      <c r="C18" s="700">
        <v>14000</v>
      </c>
      <c r="D18" s="582">
        <v>12812</v>
      </c>
      <c r="E18" s="582"/>
      <c r="F18" s="700"/>
      <c r="G18" s="582"/>
      <c r="H18" s="582"/>
      <c r="I18" s="700"/>
      <c r="J18" s="582"/>
      <c r="K18" s="700"/>
      <c r="L18" s="582"/>
      <c r="M18" s="582"/>
      <c r="N18" s="582"/>
      <c r="O18" s="582"/>
      <c r="P18" s="582"/>
      <c r="Q18" s="583"/>
      <c r="R18" s="583"/>
      <c r="S18" s="569">
        <f t="shared" si="1"/>
        <v>14000</v>
      </c>
      <c r="T18" s="568">
        <f t="shared" si="2"/>
        <v>14000</v>
      </c>
      <c r="U18" s="604">
        <f t="shared" si="3"/>
        <v>12812</v>
      </c>
    </row>
    <row r="19" spans="1:21" s="581" customFormat="1" ht="19.5" customHeight="1">
      <c r="A19" s="584" t="s">
        <v>888</v>
      </c>
      <c r="B19" s="579">
        <v>1000</v>
      </c>
      <c r="C19" s="699">
        <v>1000</v>
      </c>
      <c r="D19" s="579">
        <v>3283</v>
      </c>
      <c r="E19" s="579"/>
      <c r="F19" s="699"/>
      <c r="G19" s="579"/>
      <c r="H19" s="579"/>
      <c r="I19" s="699"/>
      <c r="J19" s="579"/>
      <c r="K19" s="699"/>
      <c r="L19" s="579"/>
      <c r="M19" s="579"/>
      <c r="N19" s="579"/>
      <c r="O19" s="579"/>
      <c r="P19" s="579"/>
      <c r="Q19" s="580"/>
      <c r="R19" s="580"/>
      <c r="S19" s="569">
        <f t="shared" si="1"/>
        <v>1000</v>
      </c>
      <c r="T19" s="568">
        <f t="shared" si="2"/>
        <v>1000</v>
      </c>
      <c r="U19" s="604">
        <f t="shared" si="3"/>
        <v>3283</v>
      </c>
    </row>
    <row r="20" spans="1:21" ht="19.5" customHeight="1">
      <c r="A20" s="577" t="s">
        <v>889</v>
      </c>
      <c r="B20" s="585">
        <f>SUM(B21:B22)</f>
        <v>115200</v>
      </c>
      <c r="C20" s="701">
        <v>106200</v>
      </c>
      <c r="D20" s="585">
        <f aca="true" t="shared" si="7" ref="D20:R20">SUM(D21:D22)</f>
        <v>106695</v>
      </c>
      <c r="E20" s="585">
        <f t="shared" si="7"/>
        <v>0</v>
      </c>
      <c r="F20" s="701"/>
      <c r="G20" s="585">
        <f t="shared" si="7"/>
        <v>0</v>
      </c>
      <c r="H20" s="585">
        <f t="shared" si="7"/>
        <v>0</v>
      </c>
      <c r="I20" s="701"/>
      <c r="J20" s="585">
        <f t="shared" si="7"/>
        <v>0</v>
      </c>
      <c r="K20" s="701"/>
      <c r="L20" s="585">
        <f t="shared" si="7"/>
        <v>0</v>
      </c>
      <c r="M20" s="585">
        <f t="shared" si="7"/>
        <v>0</v>
      </c>
      <c r="N20" s="585">
        <v>0</v>
      </c>
      <c r="O20" s="585">
        <f t="shared" si="7"/>
        <v>0</v>
      </c>
      <c r="P20" s="585">
        <f t="shared" si="7"/>
        <v>0</v>
      </c>
      <c r="Q20" s="585">
        <f t="shared" si="7"/>
        <v>0</v>
      </c>
      <c r="R20" s="585">
        <f t="shared" si="7"/>
        <v>0</v>
      </c>
      <c r="S20" s="569">
        <f t="shared" si="1"/>
        <v>115200</v>
      </c>
      <c r="T20" s="568">
        <f t="shared" si="2"/>
        <v>106200</v>
      </c>
      <c r="U20" s="604">
        <f t="shared" si="3"/>
        <v>106695</v>
      </c>
    </row>
    <row r="21" spans="1:21" s="581" customFormat="1" ht="19.5" customHeight="1">
      <c r="A21" s="578" t="s">
        <v>890</v>
      </c>
      <c r="B21" s="582">
        <v>115000</v>
      </c>
      <c r="C21" s="700">
        <v>106000</v>
      </c>
      <c r="D21" s="582">
        <v>106695</v>
      </c>
      <c r="E21" s="582"/>
      <c r="F21" s="700"/>
      <c r="G21" s="582"/>
      <c r="H21" s="582"/>
      <c r="I21" s="700"/>
      <c r="J21" s="582"/>
      <c r="K21" s="700"/>
      <c r="L21" s="582"/>
      <c r="M21" s="582"/>
      <c r="N21" s="582"/>
      <c r="O21" s="582"/>
      <c r="P21" s="582"/>
      <c r="Q21" s="583"/>
      <c r="R21" s="583"/>
      <c r="S21" s="569">
        <f t="shared" si="1"/>
        <v>115000</v>
      </c>
      <c r="T21" s="568">
        <f t="shared" si="2"/>
        <v>106000</v>
      </c>
      <c r="U21" s="604">
        <f t="shared" si="3"/>
        <v>106695</v>
      </c>
    </row>
    <row r="22" spans="1:21" s="581" customFormat="1" ht="19.5" customHeight="1">
      <c r="A22" s="578" t="s">
        <v>891</v>
      </c>
      <c r="B22" s="582">
        <v>200</v>
      </c>
      <c r="C22" s="700">
        <v>200</v>
      </c>
      <c r="D22" s="582">
        <v>0</v>
      </c>
      <c r="E22" s="582"/>
      <c r="F22" s="700"/>
      <c r="G22" s="582"/>
      <c r="H22" s="582"/>
      <c r="I22" s="700"/>
      <c r="J22" s="582"/>
      <c r="K22" s="700"/>
      <c r="L22" s="582"/>
      <c r="M22" s="582"/>
      <c r="N22" s="582"/>
      <c r="O22" s="582"/>
      <c r="P22" s="582"/>
      <c r="Q22" s="583"/>
      <c r="R22" s="583"/>
      <c r="S22" s="569">
        <f t="shared" si="1"/>
        <v>200</v>
      </c>
      <c r="T22" s="568">
        <f t="shared" si="2"/>
        <v>200</v>
      </c>
      <c r="U22" s="604">
        <f t="shared" si="3"/>
        <v>0</v>
      </c>
    </row>
    <row r="23" spans="1:21" ht="19.5" customHeight="1">
      <c r="A23" s="577" t="s">
        <v>892</v>
      </c>
      <c r="B23" s="585">
        <v>300</v>
      </c>
      <c r="C23" s="701">
        <v>300</v>
      </c>
      <c r="D23" s="585">
        <v>653</v>
      </c>
      <c r="E23" s="585">
        <v>2000</v>
      </c>
      <c r="F23" s="701">
        <v>1872</v>
      </c>
      <c r="G23" s="585">
        <v>1872</v>
      </c>
      <c r="H23" s="585"/>
      <c r="I23" s="701"/>
      <c r="J23" s="585"/>
      <c r="K23" s="701"/>
      <c r="L23" s="585"/>
      <c r="M23" s="585"/>
      <c r="N23" s="585"/>
      <c r="O23" s="585"/>
      <c r="P23" s="585"/>
      <c r="Q23" s="586"/>
      <c r="R23" s="586"/>
      <c r="S23" s="569">
        <f t="shared" si="1"/>
        <v>2300</v>
      </c>
      <c r="T23" s="568">
        <f t="shared" si="2"/>
        <v>2172</v>
      </c>
      <c r="U23" s="604">
        <f t="shared" si="3"/>
        <v>2525</v>
      </c>
    </row>
    <row r="24" spans="1:21" ht="19.5" customHeight="1">
      <c r="A24" s="577" t="s">
        <v>893</v>
      </c>
      <c r="B24" s="585">
        <v>10000</v>
      </c>
      <c r="C24" s="701">
        <v>10000</v>
      </c>
      <c r="D24" s="585">
        <v>8365</v>
      </c>
      <c r="E24" s="585"/>
      <c r="F24" s="701"/>
      <c r="G24" s="585"/>
      <c r="H24" s="585"/>
      <c r="I24" s="701"/>
      <c r="J24" s="585"/>
      <c r="K24" s="701"/>
      <c r="L24" s="585"/>
      <c r="M24" s="585"/>
      <c r="N24" s="585"/>
      <c r="O24" s="585"/>
      <c r="P24" s="585"/>
      <c r="Q24" s="586"/>
      <c r="R24" s="586"/>
      <c r="S24" s="569">
        <f t="shared" si="1"/>
        <v>10000</v>
      </c>
      <c r="T24" s="568">
        <f t="shared" si="2"/>
        <v>10000</v>
      </c>
      <c r="U24" s="604">
        <f t="shared" si="3"/>
        <v>8365</v>
      </c>
    </row>
    <row r="25" spans="1:21" ht="19.5" customHeight="1">
      <c r="A25" s="577" t="s">
        <v>894</v>
      </c>
      <c r="B25" s="585">
        <v>32380</v>
      </c>
      <c r="C25" s="701">
        <v>38576</v>
      </c>
      <c r="D25" s="585">
        <v>37302</v>
      </c>
      <c r="E25" s="585"/>
      <c r="F25" s="701"/>
      <c r="G25" s="585"/>
      <c r="H25" s="585"/>
      <c r="I25" s="701"/>
      <c r="J25" s="585"/>
      <c r="K25" s="701"/>
      <c r="L25" s="585"/>
      <c r="M25" s="585"/>
      <c r="N25" s="585"/>
      <c r="O25" s="585"/>
      <c r="P25" s="585"/>
      <c r="Q25" s="586">
        <v>108</v>
      </c>
      <c r="R25" s="586">
        <v>99</v>
      </c>
      <c r="S25" s="569">
        <f t="shared" si="1"/>
        <v>32380</v>
      </c>
      <c r="T25" s="568">
        <f t="shared" si="2"/>
        <v>38684</v>
      </c>
      <c r="U25" s="604">
        <f t="shared" si="3"/>
        <v>37401</v>
      </c>
    </row>
    <row r="26" spans="1:21" ht="19.5" customHeight="1">
      <c r="A26" s="577" t="s">
        <v>895</v>
      </c>
      <c r="B26" s="585">
        <v>47000</v>
      </c>
      <c r="C26" s="701">
        <v>55900</v>
      </c>
      <c r="D26" s="585">
        <v>55926</v>
      </c>
      <c r="E26" s="585"/>
      <c r="F26" s="701"/>
      <c r="G26" s="585"/>
      <c r="H26" s="585"/>
      <c r="I26" s="701"/>
      <c r="J26" s="585"/>
      <c r="K26" s="701"/>
      <c r="L26" s="585"/>
      <c r="M26" s="585"/>
      <c r="N26" s="585"/>
      <c r="O26" s="585"/>
      <c r="P26" s="585"/>
      <c r="Q26" s="586"/>
      <c r="R26" s="586"/>
      <c r="S26" s="569">
        <f t="shared" si="1"/>
        <v>47000</v>
      </c>
      <c r="T26" s="568">
        <f t="shared" si="2"/>
        <v>55900</v>
      </c>
      <c r="U26" s="604">
        <f t="shared" si="3"/>
        <v>55926</v>
      </c>
    </row>
    <row r="27" spans="1:21" s="560" customFormat="1" ht="19.5" customHeight="1">
      <c r="A27" s="587" t="s">
        <v>0</v>
      </c>
      <c r="B27" s="588">
        <f>SUM(B28:B30)</f>
        <v>855379</v>
      </c>
      <c r="C27" s="588">
        <f>SUM(C28:C30)</f>
        <v>1006930</v>
      </c>
      <c r="D27" s="588">
        <f>SUM(D28:D30)</f>
        <v>1006930</v>
      </c>
      <c r="E27" s="588">
        <f aca="true" t="shared" si="8" ref="E27:R27">SUM(E28:E30)</f>
        <v>0</v>
      </c>
      <c r="F27" s="632">
        <v>0</v>
      </c>
      <c r="G27" s="588">
        <f t="shared" si="8"/>
        <v>0</v>
      </c>
      <c r="H27" s="588">
        <f t="shared" si="8"/>
        <v>0</v>
      </c>
      <c r="I27" s="632">
        <v>0</v>
      </c>
      <c r="J27" s="588">
        <f t="shared" si="8"/>
        <v>0</v>
      </c>
      <c r="K27" s="632">
        <v>0</v>
      </c>
      <c r="L27" s="588">
        <f t="shared" si="8"/>
        <v>0</v>
      </c>
      <c r="M27" s="588">
        <f t="shared" si="8"/>
        <v>0</v>
      </c>
      <c r="N27" s="588">
        <v>0</v>
      </c>
      <c r="O27" s="588">
        <f t="shared" si="8"/>
        <v>0</v>
      </c>
      <c r="P27" s="588">
        <f t="shared" si="8"/>
        <v>0</v>
      </c>
      <c r="Q27" s="588">
        <f t="shared" si="8"/>
        <v>0</v>
      </c>
      <c r="R27" s="588">
        <f t="shared" si="8"/>
        <v>0</v>
      </c>
      <c r="S27" s="569">
        <f t="shared" si="1"/>
        <v>855379</v>
      </c>
      <c r="T27" s="568">
        <f t="shared" si="2"/>
        <v>1006930</v>
      </c>
      <c r="U27" s="604">
        <f t="shared" si="3"/>
        <v>1006930</v>
      </c>
    </row>
    <row r="28" spans="1:21" ht="19.5" customHeight="1">
      <c r="A28" s="577" t="s">
        <v>1</v>
      </c>
      <c r="B28" s="585">
        <v>778320</v>
      </c>
      <c r="C28" s="701">
        <v>852623</v>
      </c>
      <c r="D28" s="585">
        <v>852623</v>
      </c>
      <c r="E28" s="585"/>
      <c r="F28" s="701"/>
      <c r="G28" s="585"/>
      <c r="H28" s="585"/>
      <c r="I28" s="701"/>
      <c r="J28" s="585"/>
      <c r="K28" s="701"/>
      <c r="L28" s="585"/>
      <c r="M28" s="585"/>
      <c r="N28" s="585"/>
      <c r="O28" s="585"/>
      <c r="P28" s="585"/>
      <c r="Q28" s="586"/>
      <c r="R28" s="586"/>
      <c r="S28" s="569">
        <f t="shared" si="1"/>
        <v>778320</v>
      </c>
      <c r="T28" s="568">
        <f t="shared" si="2"/>
        <v>852623</v>
      </c>
      <c r="U28" s="604">
        <f t="shared" si="3"/>
        <v>852623</v>
      </c>
    </row>
    <row r="29" spans="1:21" s="581" customFormat="1" ht="19.5" customHeight="1">
      <c r="A29" s="574" t="s">
        <v>2</v>
      </c>
      <c r="B29" s="585">
        <v>77059</v>
      </c>
      <c r="C29" s="702">
        <v>85050</v>
      </c>
      <c r="D29" s="585">
        <v>85050</v>
      </c>
      <c r="E29" s="585"/>
      <c r="F29" s="702"/>
      <c r="G29" s="585"/>
      <c r="H29" s="585"/>
      <c r="I29" s="702"/>
      <c r="J29" s="585"/>
      <c r="K29" s="702"/>
      <c r="L29" s="585"/>
      <c r="M29" s="585"/>
      <c r="N29" s="585"/>
      <c r="O29" s="585"/>
      <c r="P29" s="585"/>
      <c r="Q29" s="586"/>
      <c r="R29" s="586"/>
      <c r="S29" s="569">
        <f t="shared" si="1"/>
        <v>77059</v>
      </c>
      <c r="T29" s="568">
        <f t="shared" si="2"/>
        <v>85050</v>
      </c>
      <c r="U29" s="604">
        <f t="shared" si="3"/>
        <v>85050</v>
      </c>
    </row>
    <row r="30" spans="1:21" s="581" customFormat="1" ht="19.5" customHeight="1">
      <c r="A30" s="574" t="s">
        <v>749</v>
      </c>
      <c r="B30" s="585"/>
      <c r="C30" s="702">
        <v>69257</v>
      </c>
      <c r="D30" s="585">
        <v>69257</v>
      </c>
      <c r="E30" s="585"/>
      <c r="F30" s="702"/>
      <c r="G30" s="585"/>
      <c r="H30" s="585"/>
      <c r="I30" s="702"/>
      <c r="J30" s="585"/>
      <c r="K30" s="702"/>
      <c r="L30" s="585"/>
      <c r="M30" s="585"/>
      <c r="N30" s="585"/>
      <c r="O30" s="585"/>
      <c r="P30" s="585"/>
      <c r="Q30" s="586"/>
      <c r="R30" s="586"/>
      <c r="S30" s="569">
        <f t="shared" si="1"/>
        <v>0</v>
      </c>
      <c r="T30" s="568">
        <f t="shared" si="2"/>
        <v>69257</v>
      </c>
      <c r="U30" s="604">
        <f t="shared" si="3"/>
        <v>69257</v>
      </c>
    </row>
    <row r="31" spans="1:21" s="560" customFormat="1" ht="19.5" customHeight="1">
      <c r="A31" s="587" t="s">
        <v>3</v>
      </c>
      <c r="B31" s="588">
        <f aca="true" t="shared" si="9" ref="B31:R31">SUM(B32:B34)</f>
        <v>76210</v>
      </c>
      <c r="C31" s="632">
        <v>108733</v>
      </c>
      <c r="D31" s="588">
        <f t="shared" si="9"/>
        <v>99769</v>
      </c>
      <c r="E31" s="588">
        <f t="shared" si="9"/>
        <v>0</v>
      </c>
      <c r="F31" s="632">
        <v>0</v>
      </c>
      <c r="G31" s="588">
        <f t="shared" si="9"/>
        <v>1619</v>
      </c>
      <c r="H31" s="588">
        <f t="shared" si="9"/>
        <v>8431</v>
      </c>
      <c r="I31" s="632">
        <v>0</v>
      </c>
      <c r="J31" s="588">
        <f t="shared" si="9"/>
        <v>175</v>
      </c>
      <c r="K31" s="632">
        <v>52307</v>
      </c>
      <c r="L31" s="588">
        <f t="shared" si="9"/>
        <v>58114</v>
      </c>
      <c r="M31" s="588">
        <f t="shared" si="9"/>
        <v>19880</v>
      </c>
      <c r="N31" s="588">
        <v>57912</v>
      </c>
      <c r="O31" s="588">
        <f t="shared" si="9"/>
        <v>73176</v>
      </c>
      <c r="P31" s="588">
        <f t="shared" si="9"/>
        <v>500</v>
      </c>
      <c r="Q31" s="588">
        <f t="shared" si="9"/>
        <v>3843</v>
      </c>
      <c r="R31" s="588">
        <f t="shared" si="9"/>
        <v>4031</v>
      </c>
      <c r="S31" s="569">
        <f t="shared" si="1"/>
        <v>105021</v>
      </c>
      <c r="T31" s="568">
        <f t="shared" si="2"/>
        <v>222795</v>
      </c>
      <c r="U31" s="604">
        <f t="shared" si="3"/>
        <v>236884</v>
      </c>
    </row>
    <row r="32" spans="1:21" ht="19.5" customHeight="1">
      <c r="A32" s="577" t="s">
        <v>4</v>
      </c>
      <c r="B32" s="585">
        <v>72410</v>
      </c>
      <c r="C32" s="701">
        <v>97237</v>
      </c>
      <c r="D32" s="585">
        <v>90603</v>
      </c>
      <c r="E32" s="585"/>
      <c r="F32" s="701"/>
      <c r="G32" s="585">
        <v>1619</v>
      </c>
      <c r="H32" s="585"/>
      <c r="I32" s="701"/>
      <c r="J32" s="585">
        <v>175</v>
      </c>
      <c r="K32" s="701">
        <v>52307</v>
      </c>
      <c r="L32" s="585">
        <v>58114</v>
      </c>
      <c r="M32" s="585">
        <v>10000</v>
      </c>
      <c r="N32" s="585">
        <v>30198</v>
      </c>
      <c r="O32" s="585">
        <v>45462</v>
      </c>
      <c r="P32" s="585"/>
      <c r="Q32" s="586">
        <v>3843</v>
      </c>
      <c r="R32" s="586">
        <v>4031</v>
      </c>
      <c r="S32" s="569">
        <f t="shared" si="1"/>
        <v>82410</v>
      </c>
      <c r="T32" s="568">
        <f t="shared" si="2"/>
        <v>183585</v>
      </c>
      <c r="U32" s="604">
        <f t="shared" si="3"/>
        <v>200004</v>
      </c>
    </row>
    <row r="33" spans="1:21" ht="19.5" customHeight="1">
      <c r="A33" s="577" t="s">
        <v>237</v>
      </c>
      <c r="B33" s="585"/>
      <c r="C33" s="701"/>
      <c r="D33" s="585"/>
      <c r="E33" s="585"/>
      <c r="F33" s="701"/>
      <c r="G33" s="585"/>
      <c r="H33" s="585"/>
      <c r="I33" s="701"/>
      <c r="J33" s="585"/>
      <c r="K33" s="701"/>
      <c r="L33" s="585"/>
      <c r="M33" s="585"/>
      <c r="N33" s="585">
        <v>25993</v>
      </c>
      <c r="O33" s="585">
        <v>25993</v>
      </c>
      <c r="P33" s="585"/>
      <c r="Q33" s="586"/>
      <c r="R33" s="586"/>
      <c r="S33" s="569">
        <f t="shared" si="1"/>
        <v>0</v>
      </c>
      <c r="T33" s="568">
        <f t="shared" si="2"/>
        <v>25993</v>
      </c>
      <c r="U33" s="604">
        <f t="shared" si="3"/>
        <v>25993</v>
      </c>
    </row>
    <row r="34" spans="1:21" ht="19.5" customHeight="1">
      <c r="A34" s="577" t="s">
        <v>5</v>
      </c>
      <c r="B34" s="585">
        <v>3800</v>
      </c>
      <c r="C34" s="701">
        <v>11496</v>
      </c>
      <c r="D34" s="585">
        <v>9166</v>
      </c>
      <c r="E34" s="585"/>
      <c r="F34" s="701"/>
      <c r="G34" s="585"/>
      <c r="H34" s="585">
        <v>8431</v>
      </c>
      <c r="I34" s="701"/>
      <c r="J34" s="585"/>
      <c r="K34" s="701"/>
      <c r="L34" s="585"/>
      <c r="M34" s="585">
        <v>9880</v>
      </c>
      <c r="N34" s="585">
        <v>1721</v>
      </c>
      <c r="O34" s="585">
        <v>1721</v>
      </c>
      <c r="P34" s="585">
        <v>500</v>
      </c>
      <c r="Q34" s="586"/>
      <c r="R34" s="586"/>
      <c r="S34" s="569">
        <f t="shared" si="1"/>
        <v>22611</v>
      </c>
      <c r="T34" s="568">
        <f t="shared" si="2"/>
        <v>13217</v>
      </c>
      <c r="U34" s="604">
        <f t="shared" si="3"/>
        <v>10887</v>
      </c>
    </row>
    <row r="35" spans="1:21" ht="19.5" customHeight="1">
      <c r="A35" s="590" t="s">
        <v>6</v>
      </c>
      <c r="B35" s="588">
        <f>SUM(B36:B41)</f>
        <v>450279</v>
      </c>
      <c r="C35" s="632">
        <v>88526</v>
      </c>
      <c r="D35" s="588">
        <f>SUM(D36:D44)</f>
        <v>102763</v>
      </c>
      <c r="E35" s="588">
        <f aca="true" t="shared" si="10" ref="E35:R35">SUM(E36:E42)</f>
        <v>0</v>
      </c>
      <c r="F35" s="632">
        <v>0</v>
      </c>
      <c r="G35" s="588">
        <f t="shared" si="10"/>
        <v>0</v>
      </c>
      <c r="H35" s="588">
        <f t="shared" si="10"/>
        <v>0</v>
      </c>
      <c r="I35" s="632">
        <v>0</v>
      </c>
      <c r="J35" s="588">
        <f t="shared" si="10"/>
        <v>0</v>
      </c>
      <c r="K35" s="632">
        <v>0</v>
      </c>
      <c r="L35" s="588">
        <f t="shared" si="10"/>
        <v>0</v>
      </c>
      <c r="M35" s="588">
        <f t="shared" si="10"/>
        <v>0</v>
      </c>
      <c r="N35" s="588">
        <v>0</v>
      </c>
      <c r="O35" s="588">
        <f t="shared" si="10"/>
        <v>0</v>
      </c>
      <c r="P35" s="588">
        <f t="shared" si="10"/>
        <v>0</v>
      </c>
      <c r="Q35" s="588">
        <f t="shared" si="10"/>
        <v>0</v>
      </c>
      <c r="R35" s="588">
        <f t="shared" si="10"/>
        <v>0</v>
      </c>
      <c r="S35" s="569">
        <f t="shared" si="1"/>
        <v>450279</v>
      </c>
      <c r="T35" s="568">
        <f t="shared" si="2"/>
        <v>88526</v>
      </c>
      <c r="U35" s="604">
        <f t="shared" si="3"/>
        <v>102763</v>
      </c>
    </row>
    <row r="36" spans="1:21" ht="19.5" customHeight="1">
      <c r="A36" s="577" t="s">
        <v>7</v>
      </c>
      <c r="B36" s="585">
        <v>250</v>
      </c>
      <c r="C36" s="701">
        <v>4685</v>
      </c>
      <c r="D36" s="585">
        <v>4685</v>
      </c>
      <c r="E36" s="585"/>
      <c r="F36" s="701"/>
      <c r="G36" s="585"/>
      <c r="H36" s="585"/>
      <c r="I36" s="701"/>
      <c r="J36" s="585"/>
      <c r="K36" s="701"/>
      <c r="L36" s="585"/>
      <c r="M36" s="585"/>
      <c r="N36" s="585"/>
      <c r="O36" s="585"/>
      <c r="P36" s="585"/>
      <c r="Q36" s="586"/>
      <c r="R36" s="586"/>
      <c r="S36" s="569">
        <f t="shared" si="1"/>
        <v>250</v>
      </c>
      <c r="T36" s="568">
        <f t="shared" si="2"/>
        <v>4685</v>
      </c>
      <c r="U36" s="604">
        <f t="shared" si="3"/>
        <v>4685</v>
      </c>
    </row>
    <row r="37" spans="1:21" ht="19.5" customHeight="1">
      <c r="A37" s="577" t="s">
        <v>8</v>
      </c>
      <c r="B37" s="585">
        <v>277977</v>
      </c>
      <c r="C37" s="701">
        <v>4977</v>
      </c>
      <c r="D37" s="585">
        <v>8618</v>
      </c>
      <c r="E37" s="585"/>
      <c r="F37" s="701"/>
      <c r="G37" s="585"/>
      <c r="H37" s="585"/>
      <c r="I37" s="701"/>
      <c r="J37" s="585"/>
      <c r="K37" s="701"/>
      <c r="L37" s="585"/>
      <c r="M37" s="585"/>
      <c r="N37" s="585"/>
      <c r="O37" s="585"/>
      <c r="P37" s="585"/>
      <c r="Q37" s="586"/>
      <c r="R37" s="586"/>
      <c r="S37" s="569">
        <f t="shared" si="1"/>
        <v>277977</v>
      </c>
      <c r="T37" s="568">
        <f t="shared" si="2"/>
        <v>4977</v>
      </c>
      <c r="U37" s="604">
        <f t="shared" si="3"/>
        <v>8618</v>
      </c>
    </row>
    <row r="38" spans="1:21" ht="19.5" customHeight="1">
      <c r="A38" s="577" t="s">
        <v>9</v>
      </c>
      <c r="B38" s="585">
        <v>162972</v>
      </c>
      <c r="C38" s="701">
        <v>42472</v>
      </c>
      <c r="D38" s="585">
        <v>42400</v>
      </c>
      <c r="E38" s="585"/>
      <c r="F38" s="701"/>
      <c r="G38" s="585"/>
      <c r="H38" s="585"/>
      <c r="I38" s="701"/>
      <c r="J38" s="585"/>
      <c r="K38" s="701"/>
      <c r="L38" s="585"/>
      <c r="M38" s="585"/>
      <c r="N38" s="585"/>
      <c r="O38" s="585"/>
      <c r="P38" s="585"/>
      <c r="Q38" s="586"/>
      <c r="R38" s="586"/>
      <c r="S38" s="569">
        <f t="shared" si="1"/>
        <v>162972</v>
      </c>
      <c r="T38" s="568">
        <f t="shared" si="2"/>
        <v>42472</v>
      </c>
      <c r="U38" s="604">
        <f t="shared" si="3"/>
        <v>42400</v>
      </c>
    </row>
    <row r="39" spans="1:21" ht="19.5" customHeight="1">
      <c r="A39" s="577" t="s">
        <v>10</v>
      </c>
      <c r="B39" s="585">
        <v>7080</v>
      </c>
      <c r="C39" s="701">
        <v>13080</v>
      </c>
      <c r="D39" s="585">
        <v>13430</v>
      </c>
      <c r="E39" s="585"/>
      <c r="F39" s="701"/>
      <c r="G39" s="585"/>
      <c r="H39" s="585"/>
      <c r="I39" s="701"/>
      <c r="J39" s="585"/>
      <c r="K39" s="701"/>
      <c r="L39" s="585"/>
      <c r="M39" s="585"/>
      <c r="N39" s="585"/>
      <c r="O39" s="585"/>
      <c r="P39" s="585"/>
      <c r="Q39" s="586"/>
      <c r="R39" s="586"/>
      <c r="S39" s="569">
        <f t="shared" si="1"/>
        <v>7080</v>
      </c>
      <c r="T39" s="568">
        <f t="shared" si="2"/>
        <v>13080</v>
      </c>
      <c r="U39" s="604">
        <f t="shared" si="3"/>
        <v>13430</v>
      </c>
    </row>
    <row r="40" spans="1:21" ht="19.5" customHeight="1">
      <c r="A40" s="577" t="s">
        <v>11</v>
      </c>
      <c r="B40" s="585">
        <v>2000</v>
      </c>
      <c r="C40" s="701">
        <v>21600</v>
      </c>
      <c r="D40" s="585">
        <v>21603</v>
      </c>
      <c r="E40" s="585"/>
      <c r="F40" s="701"/>
      <c r="G40" s="585"/>
      <c r="H40" s="585"/>
      <c r="I40" s="701"/>
      <c r="J40" s="585"/>
      <c r="K40" s="701"/>
      <c r="L40" s="585"/>
      <c r="M40" s="585"/>
      <c r="N40" s="585"/>
      <c r="O40" s="585"/>
      <c r="P40" s="585"/>
      <c r="Q40" s="586"/>
      <c r="R40" s="586"/>
      <c r="S40" s="569">
        <f t="shared" si="1"/>
        <v>2000</v>
      </c>
      <c r="T40" s="568">
        <f t="shared" si="2"/>
        <v>21600</v>
      </c>
      <c r="U40" s="604">
        <f t="shared" si="3"/>
        <v>21603</v>
      </c>
    </row>
    <row r="41" spans="1:21" ht="19.5" customHeight="1">
      <c r="A41" s="591" t="s">
        <v>12</v>
      </c>
      <c r="B41" s="585"/>
      <c r="C41" s="701"/>
      <c r="D41" s="585"/>
      <c r="E41" s="585"/>
      <c r="F41" s="701"/>
      <c r="G41" s="585"/>
      <c r="H41" s="585"/>
      <c r="I41" s="701"/>
      <c r="J41" s="585"/>
      <c r="K41" s="701"/>
      <c r="L41" s="585"/>
      <c r="M41" s="585"/>
      <c r="N41" s="585"/>
      <c r="O41" s="585"/>
      <c r="P41" s="585"/>
      <c r="Q41" s="586"/>
      <c r="R41" s="586"/>
      <c r="S41" s="569">
        <f t="shared" si="1"/>
        <v>0</v>
      </c>
      <c r="T41" s="568">
        <f t="shared" si="2"/>
        <v>0</v>
      </c>
      <c r="U41" s="604">
        <f t="shared" si="3"/>
        <v>0</v>
      </c>
    </row>
    <row r="42" spans="1:21" ht="19.5" customHeight="1">
      <c r="A42" s="591" t="s">
        <v>582</v>
      </c>
      <c r="B42" s="585"/>
      <c r="C42" s="701">
        <v>1712</v>
      </c>
      <c r="D42" s="585">
        <v>1722</v>
      </c>
      <c r="E42" s="585"/>
      <c r="F42" s="701"/>
      <c r="G42" s="585"/>
      <c r="H42" s="585"/>
      <c r="I42" s="701"/>
      <c r="J42" s="585"/>
      <c r="K42" s="701"/>
      <c r="L42" s="585"/>
      <c r="M42" s="585"/>
      <c r="N42" s="585"/>
      <c r="O42" s="585"/>
      <c r="P42" s="585"/>
      <c r="Q42" s="586"/>
      <c r="R42" s="586"/>
      <c r="S42" s="569">
        <f t="shared" si="1"/>
        <v>0</v>
      </c>
      <c r="T42" s="568">
        <f t="shared" si="2"/>
        <v>1712</v>
      </c>
      <c r="U42" s="604">
        <f t="shared" si="3"/>
        <v>1722</v>
      </c>
    </row>
    <row r="43" spans="1:21" ht="19.5" customHeight="1">
      <c r="A43" s="591" t="s">
        <v>284</v>
      </c>
      <c r="B43" s="585"/>
      <c r="C43" s="701"/>
      <c r="D43" s="585">
        <v>7871</v>
      </c>
      <c r="E43" s="585"/>
      <c r="F43" s="701"/>
      <c r="G43" s="585"/>
      <c r="H43" s="585"/>
      <c r="I43" s="701"/>
      <c r="J43" s="585"/>
      <c r="K43" s="701"/>
      <c r="L43" s="585"/>
      <c r="M43" s="585"/>
      <c r="N43" s="585"/>
      <c r="O43" s="585"/>
      <c r="P43" s="585"/>
      <c r="Q43" s="586"/>
      <c r="R43" s="586"/>
      <c r="S43" s="569"/>
      <c r="T43" s="568"/>
      <c r="U43" s="604">
        <f t="shared" si="3"/>
        <v>7871</v>
      </c>
    </row>
    <row r="44" spans="1:21" ht="19.5" customHeight="1">
      <c r="A44" s="591" t="s">
        <v>285</v>
      </c>
      <c r="B44" s="585"/>
      <c r="C44" s="701"/>
      <c r="D44" s="585">
        <v>2434</v>
      </c>
      <c r="E44" s="585"/>
      <c r="F44" s="701"/>
      <c r="G44" s="585"/>
      <c r="H44" s="585"/>
      <c r="I44" s="701"/>
      <c r="J44" s="585"/>
      <c r="K44" s="701"/>
      <c r="L44" s="585"/>
      <c r="M44" s="585"/>
      <c r="N44" s="585"/>
      <c r="O44" s="585"/>
      <c r="P44" s="585"/>
      <c r="Q44" s="586"/>
      <c r="R44" s="586"/>
      <c r="S44" s="569"/>
      <c r="T44" s="568"/>
      <c r="U44" s="604">
        <f t="shared" si="3"/>
        <v>2434</v>
      </c>
    </row>
    <row r="45" spans="1:21" s="560" customFormat="1" ht="19.5" customHeight="1">
      <c r="A45" s="590" t="s">
        <v>13</v>
      </c>
      <c r="B45" s="588">
        <f aca="true" t="shared" si="11" ref="B45:R45">SUM(B47,B46)</f>
        <v>3256122</v>
      </c>
      <c r="C45" s="632">
        <v>462949</v>
      </c>
      <c r="D45" s="588">
        <f t="shared" si="11"/>
        <v>405757</v>
      </c>
      <c r="E45" s="588">
        <f t="shared" si="11"/>
        <v>0</v>
      </c>
      <c r="F45" s="632">
        <v>0</v>
      </c>
      <c r="G45" s="588">
        <f t="shared" si="11"/>
        <v>0</v>
      </c>
      <c r="H45" s="588">
        <f t="shared" si="11"/>
        <v>0</v>
      </c>
      <c r="I45" s="632">
        <v>0</v>
      </c>
      <c r="J45" s="588">
        <f t="shared" si="11"/>
        <v>0</v>
      </c>
      <c r="K45" s="632">
        <v>0</v>
      </c>
      <c r="L45" s="588">
        <f t="shared" si="11"/>
        <v>0</v>
      </c>
      <c r="M45" s="588">
        <f t="shared" si="11"/>
        <v>0</v>
      </c>
      <c r="N45" s="588">
        <v>285</v>
      </c>
      <c r="O45" s="588">
        <f t="shared" si="11"/>
        <v>0</v>
      </c>
      <c r="P45" s="588">
        <f t="shared" si="11"/>
        <v>0</v>
      </c>
      <c r="Q45" s="588">
        <f t="shared" si="11"/>
        <v>0</v>
      </c>
      <c r="R45" s="588">
        <f t="shared" si="11"/>
        <v>0</v>
      </c>
      <c r="S45" s="569">
        <f t="shared" si="1"/>
        <v>3256122</v>
      </c>
      <c r="T45" s="568">
        <f t="shared" si="2"/>
        <v>463234</v>
      </c>
      <c r="U45" s="604">
        <f t="shared" si="3"/>
        <v>405757</v>
      </c>
    </row>
    <row r="46" spans="1:21" ht="19.5" customHeight="1">
      <c r="A46" s="591" t="s">
        <v>14</v>
      </c>
      <c r="B46" s="585">
        <v>0</v>
      </c>
      <c r="C46" s="701">
        <v>5379</v>
      </c>
      <c r="D46" s="585">
        <v>5379</v>
      </c>
      <c r="E46" s="585"/>
      <c r="F46" s="701"/>
      <c r="G46" s="585"/>
      <c r="H46" s="585"/>
      <c r="I46" s="701"/>
      <c r="J46" s="585"/>
      <c r="K46" s="701"/>
      <c r="L46" s="585"/>
      <c r="M46" s="585"/>
      <c r="N46" s="585"/>
      <c r="O46" s="585"/>
      <c r="P46" s="585"/>
      <c r="Q46" s="586"/>
      <c r="R46" s="586"/>
      <c r="S46" s="569">
        <f t="shared" si="1"/>
        <v>0</v>
      </c>
      <c r="T46" s="568">
        <f t="shared" si="2"/>
        <v>5379</v>
      </c>
      <c r="U46" s="604">
        <f t="shared" si="3"/>
        <v>5379</v>
      </c>
    </row>
    <row r="47" spans="1:21" ht="19.5" customHeight="1">
      <c r="A47" s="591" t="s">
        <v>15</v>
      </c>
      <c r="B47" s="585">
        <f>SUM(B48:B50)</f>
        <v>3256122</v>
      </c>
      <c r="C47" s="701">
        <v>457570</v>
      </c>
      <c r="D47" s="585">
        <f aca="true" t="shared" si="12" ref="D47:R47">SUM(D48:D50)</f>
        <v>400378</v>
      </c>
      <c r="E47" s="585">
        <f t="shared" si="12"/>
        <v>0</v>
      </c>
      <c r="F47" s="701">
        <v>0</v>
      </c>
      <c r="G47" s="585">
        <f t="shared" si="12"/>
        <v>0</v>
      </c>
      <c r="H47" s="585">
        <f t="shared" si="12"/>
        <v>0</v>
      </c>
      <c r="I47" s="701">
        <v>0</v>
      </c>
      <c r="J47" s="585">
        <f t="shared" si="12"/>
        <v>0</v>
      </c>
      <c r="K47" s="701">
        <v>0</v>
      </c>
      <c r="L47" s="585">
        <f t="shared" si="12"/>
        <v>0</v>
      </c>
      <c r="M47" s="585">
        <f t="shared" si="12"/>
        <v>0</v>
      </c>
      <c r="N47" s="585">
        <v>285</v>
      </c>
      <c r="O47" s="585">
        <f t="shared" si="12"/>
        <v>0</v>
      </c>
      <c r="P47" s="585">
        <f t="shared" si="12"/>
        <v>0</v>
      </c>
      <c r="Q47" s="585">
        <f t="shared" si="12"/>
        <v>0</v>
      </c>
      <c r="R47" s="585">
        <f t="shared" si="12"/>
        <v>0</v>
      </c>
      <c r="S47" s="569">
        <f t="shared" si="1"/>
        <v>3256122</v>
      </c>
      <c r="T47" s="568">
        <f t="shared" si="2"/>
        <v>457855</v>
      </c>
      <c r="U47" s="604">
        <f t="shared" si="3"/>
        <v>400378</v>
      </c>
    </row>
    <row r="48" spans="1:21" s="581" customFormat="1" ht="19.5" customHeight="1">
      <c r="A48" s="592" t="s">
        <v>16</v>
      </c>
      <c r="B48" s="582">
        <v>1537265</v>
      </c>
      <c r="C48" s="703">
        <v>452520</v>
      </c>
      <c r="D48" s="582">
        <v>395116</v>
      </c>
      <c r="E48" s="582"/>
      <c r="F48" s="703"/>
      <c r="G48" s="582"/>
      <c r="H48" s="582"/>
      <c r="I48" s="703"/>
      <c r="J48" s="582"/>
      <c r="K48" s="703"/>
      <c r="L48" s="582"/>
      <c r="M48" s="582"/>
      <c r="N48" s="582">
        <v>285</v>
      </c>
      <c r="O48" s="582">
        <v>0</v>
      </c>
      <c r="P48" s="582"/>
      <c r="Q48" s="583"/>
      <c r="R48" s="583"/>
      <c r="S48" s="569">
        <f t="shared" si="1"/>
        <v>1537265</v>
      </c>
      <c r="T48" s="568">
        <f t="shared" si="2"/>
        <v>452805</v>
      </c>
      <c r="U48" s="604">
        <f t="shared" si="3"/>
        <v>395116</v>
      </c>
    </row>
    <row r="49" spans="1:21" s="581" customFormat="1" ht="31.5">
      <c r="A49" s="593" t="s">
        <v>17</v>
      </c>
      <c r="B49" s="582">
        <f>1591726+127081</f>
        <v>1718807</v>
      </c>
      <c r="C49" s="703"/>
      <c r="D49" s="582"/>
      <c r="E49" s="582"/>
      <c r="F49" s="703"/>
      <c r="G49" s="582"/>
      <c r="H49" s="582"/>
      <c r="I49" s="703"/>
      <c r="J49" s="582"/>
      <c r="K49" s="703"/>
      <c r="L49" s="582"/>
      <c r="M49" s="582"/>
      <c r="N49" s="582"/>
      <c r="O49" s="582"/>
      <c r="P49" s="582"/>
      <c r="Q49" s="583"/>
      <c r="R49" s="583"/>
      <c r="S49" s="569">
        <f t="shared" si="1"/>
        <v>1718807</v>
      </c>
      <c r="T49" s="568">
        <f t="shared" si="2"/>
        <v>0</v>
      </c>
      <c r="U49" s="604">
        <f t="shared" si="3"/>
        <v>0</v>
      </c>
    </row>
    <row r="50" spans="1:21" s="581" customFormat="1" ht="19.5" customHeight="1">
      <c r="A50" s="592" t="s">
        <v>18</v>
      </c>
      <c r="B50" s="582">
        <v>50</v>
      </c>
      <c r="C50" s="703">
        <v>5050</v>
      </c>
      <c r="D50" s="582">
        <v>5262</v>
      </c>
      <c r="E50" s="582"/>
      <c r="F50" s="703"/>
      <c r="G50" s="582"/>
      <c r="H50" s="582"/>
      <c r="I50" s="703"/>
      <c r="J50" s="582"/>
      <c r="K50" s="703"/>
      <c r="L50" s="582"/>
      <c r="M50" s="582"/>
      <c r="N50" s="582"/>
      <c r="O50" s="582"/>
      <c r="P50" s="582"/>
      <c r="Q50" s="583"/>
      <c r="R50" s="583"/>
      <c r="S50" s="569">
        <f t="shared" si="1"/>
        <v>50</v>
      </c>
      <c r="T50" s="568">
        <f t="shared" si="2"/>
        <v>5050</v>
      </c>
      <c r="U50" s="604">
        <f t="shared" si="3"/>
        <v>5262</v>
      </c>
    </row>
    <row r="51" spans="1:21" s="560" customFormat="1" ht="19.5" customHeight="1">
      <c r="A51" s="590" t="s">
        <v>19</v>
      </c>
      <c r="B51" s="588">
        <v>107757</v>
      </c>
      <c r="C51" s="632">
        <v>26239</v>
      </c>
      <c r="D51" s="588">
        <v>26743</v>
      </c>
      <c r="E51" s="588">
        <v>0</v>
      </c>
      <c r="F51" s="632"/>
      <c r="G51" s="588"/>
      <c r="H51" s="588">
        <v>1692</v>
      </c>
      <c r="I51" s="632">
        <v>209</v>
      </c>
      <c r="J51" s="588">
        <v>209</v>
      </c>
      <c r="K51" s="632">
        <v>1483</v>
      </c>
      <c r="L51" s="588">
        <v>1373</v>
      </c>
      <c r="M51" s="588">
        <v>0</v>
      </c>
      <c r="N51" s="588"/>
      <c r="O51" s="588"/>
      <c r="P51" s="588">
        <v>0</v>
      </c>
      <c r="Q51" s="589"/>
      <c r="R51" s="589"/>
      <c r="S51" s="569">
        <f t="shared" si="1"/>
        <v>109449</v>
      </c>
      <c r="T51" s="568">
        <f t="shared" si="2"/>
        <v>27931</v>
      </c>
      <c r="U51" s="604">
        <f t="shared" si="3"/>
        <v>28325</v>
      </c>
    </row>
    <row r="52" spans="1:21" s="560" customFormat="1" ht="19.5" customHeight="1">
      <c r="A52" s="590" t="s">
        <v>286</v>
      </c>
      <c r="B52" s="588"/>
      <c r="C52" s="632"/>
      <c r="D52" s="588">
        <v>8287</v>
      </c>
      <c r="E52" s="588"/>
      <c r="F52" s="632"/>
      <c r="G52" s="588"/>
      <c r="H52" s="588"/>
      <c r="I52" s="632"/>
      <c r="J52" s="588"/>
      <c r="K52" s="632"/>
      <c r="L52" s="588"/>
      <c r="M52" s="588"/>
      <c r="N52" s="588"/>
      <c r="O52" s="588"/>
      <c r="P52" s="588"/>
      <c r="Q52" s="589"/>
      <c r="R52" s="589"/>
      <c r="S52" s="569"/>
      <c r="T52" s="568"/>
      <c r="U52" s="604">
        <f>SUM(D52)</f>
        <v>8287</v>
      </c>
    </row>
    <row r="53" spans="1:21" s="597" customFormat="1" ht="30.75" customHeight="1">
      <c r="A53" s="594" t="s">
        <v>20</v>
      </c>
      <c r="B53" s="595"/>
      <c r="C53" s="704"/>
      <c r="D53" s="595"/>
      <c r="E53" s="595">
        <v>14726</v>
      </c>
      <c r="F53" s="704">
        <v>15714</v>
      </c>
      <c r="G53" s="595">
        <v>15398</v>
      </c>
      <c r="H53" s="595">
        <v>578880</v>
      </c>
      <c r="I53" s="704">
        <v>112951</v>
      </c>
      <c r="J53" s="595">
        <v>112776</v>
      </c>
      <c r="K53" s="704">
        <v>512124</v>
      </c>
      <c r="L53" s="595">
        <v>470537</v>
      </c>
      <c r="M53" s="595">
        <v>779538</v>
      </c>
      <c r="N53" s="595">
        <v>758501</v>
      </c>
      <c r="O53" s="595">
        <v>747206</v>
      </c>
      <c r="P53" s="595">
        <v>134516</v>
      </c>
      <c r="Q53" s="596">
        <v>138951</v>
      </c>
      <c r="R53" s="596">
        <v>138921</v>
      </c>
      <c r="S53" s="569">
        <f t="shared" si="1"/>
        <v>1507660</v>
      </c>
      <c r="T53" s="568">
        <f t="shared" si="2"/>
        <v>1538241</v>
      </c>
      <c r="U53" s="604">
        <f t="shared" si="3"/>
        <v>1484838</v>
      </c>
    </row>
    <row r="54" spans="1:21" ht="19.5" customHeight="1">
      <c r="A54" s="590" t="s">
        <v>21</v>
      </c>
      <c r="B54" s="588">
        <v>501869</v>
      </c>
      <c r="C54" s="632">
        <v>778737</v>
      </c>
      <c r="D54" s="588">
        <v>788399</v>
      </c>
      <c r="E54" s="588">
        <v>0</v>
      </c>
      <c r="F54" s="632">
        <v>2000</v>
      </c>
      <c r="G54" s="588">
        <v>2000</v>
      </c>
      <c r="H54" s="588">
        <v>0</v>
      </c>
      <c r="I54" s="632">
        <v>16949</v>
      </c>
      <c r="J54" s="588">
        <v>16949</v>
      </c>
      <c r="K54" s="632"/>
      <c r="L54" s="588"/>
      <c r="M54" s="588">
        <v>0</v>
      </c>
      <c r="N54" s="588">
        <v>27601</v>
      </c>
      <c r="O54" s="588">
        <v>27601</v>
      </c>
      <c r="P54" s="588">
        <v>0</v>
      </c>
      <c r="Q54" s="589"/>
      <c r="R54" s="589"/>
      <c r="S54" s="569">
        <f t="shared" si="1"/>
        <v>501869</v>
      </c>
      <c r="T54" s="568">
        <f t="shared" si="2"/>
        <v>825287</v>
      </c>
      <c r="U54" s="604">
        <f t="shared" si="3"/>
        <v>834949</v>
      </c>
    </row>
    <row r="55" spans="1:21" ht="19.5" customHeight="1">
      <c r="A55" s="590" t="s">
        <v>22</v>
      </c>
      <c r="B55" s="588">
        <v>714718</v>
      </c>
      <c r="C55" s="632">
        <v>0</v>
      </c>
      <c r="D55" s="588"/>
      <c r="E55" s="588"/>
      <c r="F55" s="632"/>
      <c r="G55" s="588"/>
      <c r="H55" s="588"/>
      <c r="I55" s="632"/>
      <c r="J55" s="588"/>
      <c r="K55" s="632"/>
      <c r="L55" s="588"/>
      <c r="M55" s="588">
        <v>0</v>
      </c>
      <c r="N55" s="588"/>
      <c r="O55" s="588"/>
      <c r="P55" s="588">
        <v>0</v>
      </c>
      <c r="Q55" s="589"/>
      <c r="R55" s="589"/>
      <c r="S55" s="569">
        <f t="shared" si="1"/>
        <v>714718</v>
      </c>
      <c r="T55" s="568">
        <f t="shared" si="2"/>
        <v>0</v>
      </c>
      <c r="U55" s="604">
        <f t="shared" si="3"/>
        <v>0</v>
      </c>
    </row>
    <row r="56" spans="1:21" ht="19.5" customHeight="1">
      <c r="A56" s="598" t="s">
        <v>773</v>
      </c>
      <c r="B56" s="599"/>
      <c r="C56" s="705">
        <v>102</v>
      </c>
      <c r="D56" s="599">
        <v>102</v>
      </c>
      <c r="E56" s="599"/>
      <c r="F56" s="705"/>
      <c r="G56" s="599"/>
      <c r="H56" s="599"/>
      <c r="I56" s="705"/>
      <c r="J56" s="599"/>
      <c r="K56" s="705"/>
      <c r="L56" s="599"/>
      <c r="M56" s="599"/>
      <c r="N56" s="599">
        <v>17676</v>
      </c>
      <c r="O56" s="599">
        <v>17676</v>
      </c>
      <c r="P56" s="599"/>
      <c r="Q56" s="600">
        <v>29686</v>
      </c>
      <c r="R56" s="600">
        <v>29686</v>
      </c>
      <c r="S56" s="569">
        <f t="shared" si="1"/>
        <v>0</v>
      </c>
      <c r="T56" s="568">
        <f t="shared" si="2"/>
        <v>47464</v>
      </c>
      <c r="U56" s="604">
        <f t="shared" si="3"/>
        <v>47464</v>
      </c>
    </row>
    <row r="57" spans="1:21" ht="19.5" customHeight="1">
      <c r="A57" s="598" t="s">
        <v>502</v>
      </c>
      <c r="B57" s="599"/>
      <c r="C57" s="705"/>
      <c r="D57" s="599">
        <v>20056</v>
      </c>
      <c r="E57" s="599"/>
      <c r="F57" s="705"/>
      <c r="G57" s="599"/>
      <c r="H57" s="599"/>
      <c r="I57" s="705"/>
      <c r="J57" s="599">
        <v>-291</v>
      </c>
      <c r="K57" s="705"/>
      <c r="L57" s="599">
        <v>887</v>
      </c>
      <c r="M57" s="599"/>
      <c r="N57" s="599"/>
      <c r="O57" s="599">
        <v>66</v>
      </c>
      <c r="P57" s="599"/>
      <c r="Q57" s="600"/>
      <c r="R57" s="600"/>
      <c r="S57" s="569">
        <f t="shared" si="1"/>
        <v>0</v>
      </c>
      <c r="T57" s="568">
        <f t="shared" si="2"/>
        <v>0</v>
      </c>
      <c r="U57" s="604">
        <f t="shared" si="3"/>
        <v>20718</v>
      </c>
    </row>
    <row r="58" spans="1:21" ht="19.5" customHeight="1" thickBot="1">
      <c r="A58" s="601" t="s">
        <v>23</v>
      </c>
      <c r="B58" s="602">
        <f>SUM(B6,B27,B31,B35,B45,B51,B54,B55,B53+B56+B57)</f>
        <v>7814353</v>
      </c>
      <c r="C58" s="602">
        <f>SUM(C6,C27,C31,C35,C45,C51,C54,C55,C53+C56+C57)</f>
        <v>4515585</v>
      </c>
      <c r="D58" s="602">
        <f>SUM(D6,D27,D31,D35,D45,D51,D52,D54,D55,D53+D56+D57)</f>
        <v>4511602</v>
      </c>
      <c r="E58" s="602">
        <f aca="true" t="shared" si="13" ref="E58:J58">SUM(E6,E27,E31,E35,E45,E51,E54,E55,E53+E56+E57)</f>
        <v>16726</v>
      </c>
      <c r="F58" s="602">
        <f t="shared" si="13"/>
        <v>19586</v>
      </c>
      <c r="G58" s="602">
        <f t="shared" si="13"/>
        <v>20897</v>
      </c>
      <c r="H58" s="602">
        <f t="shared" si="13"/>
        <v>596726</v>
      </c>
      <c r="I58" s="602">
        <f t="shared" si="13"/>
        <v>130598</v>
      </c>
      <c r="J58" s="602">
        <f t="shared" si="13"/>
        <v>130307</v>
      </c>
      <c r="K58" s="602">
        <f aca="true" t="shared" si="14" ref="K58:R58">SUM(K6,K27,K31,K35,K45,K51,K54,K55,K53+K56+K57)</f>
        <v>572313</v>
      </c>
      <c r="L58" s="602">
        <f t="shared" si="14"/>
        <v>538952</v>
      </c>
      <c r="M58" s="602">
        <f t="shared" si="14"/>
        <v>967789</v>
      </c>
      <c r="N58" s="602">
        <f t="shared" si="14"/>
        <v>1061205</v>
      </c>
      <c r="O58" s="602">
        <f t="shared" si="14"/>
        <v>1044795</v>
      </c>
      <c r="P58" s="602">
        <f t="shared" si="14"/>
        <v>150482</v>
      </c>
      <c r="Q58" s="602">
        <f t="shared" si="14"/>
        <v>203429</v>
      </c>
      <c r="R58" s="602">
        <f t="shared" si="14"/>
        <v>203589</v>
      </c>
      <c r="S58" s="635">
        <f>SUM(B58+E58+H58+M58+P58)</f>
        <v>9546076</v>
      </c>
      <c r="T58" s="636">
        <f t="shared" si="2"/>
        <v>6502716</v>
      </c>
      <c r="U58" s="637">
        <f t="shared" si="3"/>
        <v>6450142</v>
      </c>
    </row>
  </sheetData>
  <sheetProtection/>
  <mergeCells count="8">
    <mergeCell ref="A2:T2"/>
    <mergeCell ref="B4:D4"/>
    <mergeCell ref="S4:U4"/>
    <mergeCell ref="E4:G4"/>
    <mergeCell ref="H4:J4"/>
    <mergeCell ref="M4:O4"/>
    <mergeCell ref="P4:R4"/>
    <mergeCell ref="K4:L4"/>
  </mergeCells>
  <printOptions horizontalCentered="1"/>
  <pageMargins left="0.07874015748031496" right="0.07874015748031496" top="0.7480314960629921" bottom="0.23" header="0.5118110236220472" footer="0.15748031496062992"/>
  <pageSetup horizontalDpi="600" verticalDpi="600" orientation="landscape" paperSize="9" scale="43" r:id="rId1"/>
  <headerFooter alignWithMargins="0">
    <oddHeader>&amp;L&amp;11 3. melléklet a 8/2014.(V.5.)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274"/>
  <sheetViews>
    <sheetView view="pageLayout" zoomScaleSheetLayoutView="100" workbookViewId="0" topLeftCell="D1">
      <selection activeCell="C2" sqref="C2:U2"/>
    </sheetView>
  </sheetViews>
  <sheetFormatPr defaultColWidth="9.00390625" defaultRowHeight="25.5" customHeight="1"/>
  <cols>
    <col min="1" max="1" width="0.12890625" style="11" hidden="1" customWidth="1"/>
    <col min="2" max="2" width="0" style="11" hidden="1" customWidth="1"/>
    <col min="3" max="3" width="61.875" style="11" customWidth="1"/>
    <col min="4" max="4" width="11.875" style="11" customWidth="1"/>
    <col min="5" max="6" width="13.625" style="11" customWidth="1"/>
    <col min="7" max="7" width="10.875" style="11" customWidth="1"/>
    <col min="8" max="9" width="13.25390625" style="11" customWidth="1"/>
    <col min="10" max="10" width="10.875" style="11" customWidth="1"/>
    <col min="11" max="12" width="13.375" style="11" customWidth="1"/>
    <col min="13" max="13" width="14.75390625" style="11" customWidth="1"/>
    <col min="14" max="14" width="14.125" style="11" customWidth="1"/>
    <col min="15" max="15" width="11.00390625" style="11" customWidth="1"/>
    <col min="16" max="17" width="13.375" style="11" customWidth="1"/>
    <col min="18" max="18" width="11.75390625" style="11" customWidth="1"/>
    <col min="19" max="20" width="13.875" style="11" customWidth="1"/>
    <col min="21" max="21" width="12.00390625" style="11" customWidth="1"/>
    <col min="22" max="23" width="13.00390625" style="11" customWidth="1"/>
    <col min="24" max="16384" width="9.125" style="11" customWidth="1"/>
  </cols>
  <sheetData>
    <row r="1" spans="3:22" s="10" customFormat="1" ht="18" customHeight="1">
      <c r="C1" s="1351" t="s">
        <v>24</v>
      </c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1351"/>
      <c r="O1" s="1351"/>
      <c r="P1" s="1351"/>
      <c r="Q1" s="1351"/>
      <c r="R1" s="1351"/>
      <c r="S1" s="1351"/>
      <c r="T1" s="1351"/>
      <c r="U1" s="1351"/>
      <c r="V1" s="1351"/>
    </row>
    <row r="2" spans="3:21" s="10" customFormat="1" ht="18" customHeight="1">
      <c r="C2" s="1349" t="s">
        <v>25</v>
      </c>
      <c r="D2" s="1349"/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49"/>
      <c r="S2" s="1349"/>
      <c r="T2" s="1349"/>
      <c r="U2" s="1350"/>
    </row>
    <row r="3" spans="3:20" s="10" customFormat="1" ht="18" customHeight="1" thickBot="1"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32" ht="63" customHeight="1">
      <c r="A4" s="605"/>
      <c r="B4" s="606"/>
      <c r="C4" s="270" t="s">
        <v>26</v>
      </c>
      <c r="D4" s="1352" t="s">
        <v>867</v>
      </c>
      <c r="E4" s="1352"/>
      <c r="F4" s="1353"/>
      <c r="G4" s="1352" t="s">
        <v>868</v>
      </c>
      <c r="H4" s="1352"/>
      <c r="I4" s="1353"/>
      <c r="J4" s="1342" t="s">
        <v>1240</v>
      </c>
      <c r="K4" s="1343"/>
      <c r="L4" s="1344"/>
      <c r="M4" s="1352" t="s">
        <v>869</v>
      </c>
      <c r="N4" s="1352"/>
      <c r="O4" s="1352" t="s">
        <v>870</v>
      </c>
      <c r="P4" s="1352"/>
      <c r="Q4" s="1353"/>
      <c r="R4" s="1352" t="s">
        <v>27</v>
      </c>
      <c r="S4" s="1352"/>
      <c r="T4" s="1353"/>
      <c r="U4" s="1354" t="s">
        <v>872</v>
      </c>
      <c r="V4" s="1354"/>
      <c r="W4" s="1355"/>
      <c r="X4" s="10"/>
      <c r="Y4" s="10"/>
      <c r="Z4" s="10"/>
      <c r="AA4" s="10"/>
      <c r="AB4" s="10"/>
      <c r="AC4" s="10"/>
      <c r="AD4" s="10"/>
      <c r="AE4" s="10"/>
      <c r="AF4" s="10"/>
    </row>
    <row r="5" spans="1:32" ht="18.75" customHeight="1">
      <c r="A5" s="607"/>
      <c r="B5" s="271"/>
      <c r="C5" s="272"/>
      <c r="D5" s="273" t="s">
        <v>873</v>
      </c>
      <c r="E5" s="273" t="s">
        <v>33</v>
      </c>
      <c r="F5" s="273" t="s">
        <v>321</v>
      </c>
      <c r="G5" s="273" t="s">
        <v>873</v>
      </c>
      <c r="H5" s="273" t="s">
        <v>33</v>
      </c>
      <c r="I5" s="273" t="s">
        <v>321</v>
      </c>
      <c r="J5" s="273" t="s">
        <v>873</v>
      </c>
      <c r="K5" s="273" t="s">
        <v>33</v>
      </c>
      <c r="L5" s="273" t="s">
        <v>321</v>
      </c>
      <c r="M5" s="273" t="s">
        <v>33</v>
      </c>
      <c r="N5" s="273" t="s">
        <v>321</v>
      </c>
      <c r="O5" s="273" t="s">
        <v>873</v>
      </c>
      <c r="P5" s="273" t="s">
        <v>33</v>
      </c>
      <c r="Q5" s="273" t="s">
        <v>321</v>
      </c>
      <c r="R5" s="273" t="s">
        <v>873</v>
      </c>
      <c r="S5" s="273" t="s">
        <v>33</v>
      </c>
      <c r="T5" s="273" t="s">
        <v>321</v>
      </c>
      <c r="U5" s="273" t="s">
        <v>874</v>
      </c>
      <c r="V5" s="638" t="s">
        <v>33</v>
      </c>
      <c r="W5" s="611" t="s">
        <v>321</v>
      </c>
      <c r="X5" s="10"/>
      <c r="Y5" s="10"/>
      <c r="Z5" s="10"/>
      <c r="AA5" s="10"/>
      <c r="AB5" s="10"/>
      <c r="AC5" s="10"/>
      <c r="AD5" s="10"/>
      <c r="AE5" s="10"/>
      <c r="AF5" s="10"/>
    </row>
    <row r="6" spans="1:32" s="266" customFormat="1" ht="19.5" customHeight="1">
      <c r="A6" s="274"/>
      <c r="B6" s="268"/>
      <c r="C6" s="51" t="s">
        <v>28</v>
      </c>
      <c r="D6" s="275">
        <v>88155</v>
      </c>
      <c r="E6" s="275">
        <v>112421</v>
      </c>
      <c r="F6" s="275">
        <v>99652</v>
      </c>
      <c r="G6" s="275">
        <v>10203</v>
      </c>
      <c r="H6" s="275">
        <v>12323</v>
      </c>
      <c r="I6" s="275">
        <v>12055</v>
      </c>
      <c r="J6" s="275">
        <v>283587</v>
      </c>
      <c r="K6" s="706">
        <v>66730</v>
      </c>
      <c r="L6" s="275">
        <v>66730</v>
      </c>
      <c r="M6" s="706">
        <v>265411</v>
      </c>
      <c r="N6" s="275">
        <v>246786</v>
      </c>
      <c r="O6" s="275">
        <v>384911</v>
      </c>
      <c r="P6" s="275">
        <v>385824</v>
      </c>
      <c r="Q6" s="275">
        <v>370641</v>
      </c>
      <c r="R6" s="275">
        <v>70787</v>
      </c>
      <c r="S6" s="639">
        <v>72898</v>
      </c>
      <c r="T6" s="639">
        <v>69655</v>
      </c>
      <c r="U6" s="632">
        <f>SUM(D6+G6+J6+O6+R6)</f>
        <v>837643</v>
      </c>
      <c r="V6" s="632">
        <f>SUM(E6+H6+K6+M6+P6+S6)</f>
        <v>915607</v>
      </c>
      <c r="W6" s="308">
        <f>SUM(F6+I6+L6+N6+Q6+T6)</f>
        <v>865519</v>
      </c>
      <c r="X6" s="268"/>
      <c r="Y6" s="268"/>
      <c r="Z6" s="268"/>
      <c r="AA6" s="268"/>
      <c r="AB6" s="268"/>
      <c r="AC6" s="268"/>
      <c r="AD6" s="268"/>
      <c r="AE6" s="268"/>
      <c r="AF6" s="268"/>
    </row>
    <row r="7" spans="1:32" s="266" customFormat="1" ht="19.5" customHeight="1">
      <c r="A7" s="274"/>
      <c r="B7" s="268"/>
      <c r="C7" s="51" t="s">
        <v>41</v>
      </c>
      <c r="D7" s="275">
        <v>28033</v>
      </c>
      <c r="E7" s="275">
        <v>36511</v>
      </c>
      <c r="F7" s="275">
        <v>26729</v>
      </c>
      <c r="G7" s="275">
        <v>2388</v>
      </c>
      <c r="H7" s="275">
        <v>3027</v>
      </c>
      <c r="I7" s="275">
        <v>3027</v>
      </c>
      <c r="J7" s="275">
        <v>72958</v>
      </c>
      <c r="K7" s="707">
        <v>17470</v>
      </c>
      <c r="L7" s="275">
        <v>17470</v>
      </c>
      <c r="M7" s="707">
        <v>66303</v>
      </c>
      <c r="N7" s="275">
        <v>63957</v>
      </c>
      <c r="O7" s="275">
        <v>100643</v>
      </c>
      <c r="P7" s="275">
        <v>100597</v>
      </c>
      <c r="Q7" s="275">
        <v>92991</v>
      </c>
      <c r="R7" s="275">
        <v>18942</v>
      </c>
      <c r="S7" s="639">
        <v>17333</v>
      </c>
      <c r="T7" s="639">
        <v>16911</v>
      </c>
      <c r="U7" s="632">
        <f aca="true" t="shared" si="0" ref="U7:U43">SUM(D7+G7+J7+O7+R7)</f>
        <v>222964</v>
      </c>
      <c r="V7" s="632">
        <f aca="true" t="shared" si="1" ref="V7:V43">SUM(E7+H7+K7+M7+P7+S7)</f>
        <v>241241</v>
      </c>
      <c r="W7" s="308">
        <f aca="true" t="shared" si="2" ref="W7:W43">SUM(F7+I7+L7+N7+Q7+T7)</f>
        <v>221085</v>
      </c>
      <c r="X7" s="268"/>
      <c r="Y7" s="268"/>
      <c r="Z7" s="268"/>
      <c r="AA7" s="268"/>
      <c r="AB7" s="268"/>
      <c r="AC7" s="268"/>
      <c r="AD7" s="268"/>
      <c r="AE7" s="268"/>
      <c r="AF7" s="268"/>
    </row>
    <row r="8" spans="1:32" s="266" customFormat="1" ht="19.5" customHeight="1">
      <c r="A8" s="274"/>
      <c r="B8" s="268"/>
      <c r="C8" s="276" t="s">
        <v>42</v>
      </c>
      <c r="D8" s="277">
        <f>685648+5000</f>
        <v>690648</v>
      </c>
      <c r="E8" s="277">
        <v>788846</v>
      </c>
      <c r="F8" s="277">
        <v>724271</v>
      </c>
      <c r="G8" s="277">
        <v>4135</v>
      </c>
      <c r="H8" s="277">
        <v>3482</v>
      </c>
      <c r="I8" s="277">
        <v>3465</v>
      </c>
      <c r="J8" s="277">
        <v>129278</v>
      </c>
      <c r="K8" s="277">
        <v>21782</v>
      </c>
      <c r="L8" s="277">
        <v>21782</v>
      </c>
      <c r="M8" s="277">
        <v>120759</v>
      </c>
      <c r="N8" s="277">
        <v>99178</v>
      </c>
      <c r="O8" s="277">
        <v>468022</v>
      </c>
      <c r="P8" s="277">
        <v>527708</v>
      </c>
      <c r="Q8" s="277">
        <v>474134</v>
      </c>
      <c r="R8" s="275">
        <v>48195</v>
      </c>
      <c r="S8" s="639">
        <v>76881</v>
      </c>
      <c r="T8" s="639">
        <v>53441</v>
      </c>
      <c r="U8" s="632">
        <f t="shared" si="0"/>
        <v>1340278</v>
      </c>
      <c r="V8" s="632">
        <f t="shared" si="1"/>
        <v>1539458</v>
      </c>
      <c r="W8" s="308">
        <f t="shared" si="2"/>
        <v>1376271</v>
      </c>
      <c r="X8" s="268"/>
      <c r="Y8" s="268"/>
      <c r="Z8" s="268"/>
      <c r="AA8" s="268"/>
      <c r="AB8" s="268"/>
      <c r="AC8" s="268"/>
      <c r="AD8" s="268"/>
      <c r="AE8" s="268"/>
      <c r="AF8" s="268"/>
    </row>
    <row r="9" spans="1:32" s="266" customFormat="1" ht="19.5" customHeight="1">
      <c r="A9" s="274"/>
      <c r="B9" s="268"/>
      <c r="C9" s="278" t="s">
        <v>43</v>
      </c>
      <c r="D9" s="279">
        <v>52213</v>
      </c>
      <c r="E9" s="279">
        <v>33329</v>
      </c>
      <c r="F9" s="279">
        <v>31789</v>
      </c>
      <c r="G9" s="279"/>
      <c r="H9" s="279"/>
      <c r="I9" s="279"/>
      <c r="J9" s="279"/>
      <c r="K9" s="708"/>
      <c r="L9" s="279"/>
      <c r="M9" s="708"/>
      <c r="N9" s="279"/>
      <c r="O9" s="279"/>
      <c r="P9" s="279"/>
      <c r="Q9" s="279"/>
      <c r="R9" s="279"/>
      <c r="S9" s="640"/>
      <c r="T9" s="640"/>
      <c r="U9" s="632">
        <f t="shared" si="0"/>
        <v>52213</v>
      </c>
      <c r="V9" s="632">
        <f t="shared" si="1"/>
        <v>33329</v>
      </c>
      <c r="W9" s="308">
        <f t="shared" si="2"/>
        <v>31789</v>
      </c>
      <c r="X9" s="268"/>
      <c r="Y9" s="268"/>
      <c r="Z9" s="268"/>
      <c r="AA9" s="268"/>
      <c r="AB9" s="268"/>
      <c r="AC9" s="268"/>
      <c r="AD9" s="268"/>
      <c r="AE9" s="268"/>
      <c r="AF9" s="268"/>
    </row>
    <row r="10" spans="1:32" s="266" customFormat="1" ht="19.5" customHeight="1">
      <c r="A10" s="274"/>
      <c r="B10" s="268"/>
      <c r="C10" s="276" t="s">
        <v>44</v>
      </c>
      <c r="D10" s="277">
        <f>SUM(D11:D13)</f>
        <v>468242</v>
      </c>
      <c r="E10" s="277">
        <f>SUM(E11:E13)</f>
        <v>705290</v>
      </c>
      <c r="F10" s="277">
        <f>SUM(F11:F13)</f>
        <v>687396</v>
      </c>
      <c r="G10" s="277">
        <f aca="true" t="shared" si="3" ref="G10:T10">SUM(G11:G13)</f>
        <v>0</v>
      </c>
      <c r="H10" s="277">
        <v>652</v>
      </c>
      <c r="I10" s="277">
        <f t="shared" si="3"/>
        <v>629</v>
      </c>
      <c r="J10" s="277">
        <f t="shared" si="3"/>
        <v>108103</v>
      </c>
      <c r="K10" s="709">
        <v>23626</v>
      </c>
      <c r="L10" s="277">
        <f t="shared" si="3"/>
        <v>23626</v>
      </c>
      <c r="M10" s="709">
        <v>112130</v>
      </c>
      <c r="N10" s="277">
        <f t="shared" si="3"/>
        <v>108801</v>
      </c>
      <c r="O10" s="277">
        <f t="shared" si="3"/>
        <v>0</v>
      </c>
      <c r="P10" s="277">
        <v>12463</v>
      </c>
      <c r="Q10" s="277">
        <f t="shared" si="3"/>
        <v>12463</v>
      </c>
      <c r="R10" s="277">
        <f t="shared" si="3"/>
        <v>0</v>
      </c>
      <c r="S10" s="277">
        <f t="shared" si="3"/>
        <v>0</v>
      </c>
      <c r="T10" s="277">
        <f t="shared" si="3"/>
        <v>0</v>
      </c>
      <c r="U10" s="632">
        <f t="shared" si="0"/>
        <v>576345</v>
      </c>
      <c r="V10" s="632">
        <f t="shared" si="1"/>
        <v>854161</v>
      </c>
      <c r="W10" s="308">
        <f t="shared" si="2"/>
        <v>832915</v>
      </c>
      <c r="X10" s="268"/>
      <c r="Y10" s="268"/>
      <c r="Z10" s="268"/>
      <c r="AA10" s="268"/>
      <c r="AB10" s="268"/>
      <c r="AC10" s="268"/>
      <c r="AD10" s="268"/>
      <c r="AE10" s="268"/>
      <c r="AF10" s="268"/>
    </row>
    <row r="11" spans="1:32" ht="31.5" customHeight="1">
      <c r="A11" s="269"/>
      <c r="B11" s="10"/>
      <c r="C11" s="280" t="s">
        <v>45</v>
      </c>
      <c r="D11" s="279">
        <v>406892</v>
      </c>
      <c r="E11" s="279">
        <v>640934</v>
      </c>
      <c r="F11" s="279">
        <v>626402</v>
      </c>
      <c r="G11" s="279"/>
      <c r="H11" s="279">
        <v>652</v>
      </c>
      <c r="I11" s="279">
        <v>629</v>
      </c>
      <c r="J11" s="279">
        <v>13739</v>
      </c>
      <c r="K11" s="708">
        <v>5349</v>
      </c>
      <c r="L11" s="279">
        <v>5349</v>
      </c>
      <c r="M11" s="708">
        <v>7769</v>
      </c>
      <c r="N11" s="279">
        <v>7497</v>
      </c>
      <c r="O11" s="279"/>
      <c r="P11" s="279">
        <v>12463</v>
      </c>
      <c r="Q11" s="279">
        <v>12463</v>
      </c>
      <c r="R11" s="279"/>
      <c r="S11" s="640"/>
      <c r="T11" s="640"/>
      <c r="U11" s="632">
        <f t="shared" si="0"/>
        <v>420631</v>
      </c>
      <c r="V11" s="632">
        <f t="shared" si="1"/>
        <v>667167</v>
      </c>
      <c r="W11" s="308">
        <f t="shared" si="2"/>
        <v>652340</v>
      </c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266" customFormat="1" ht="19.5" customHeight="1">
      <c r="A12" s="274"/>
      <c r="B12" s="268"/>
      <c r="C12" s="281" t="s">
        <v>46</v>
      </c>
      <c r="D12" s="282">
        <v>61350</v>
      </c>
      <c r="E12" s="282">
        <v>64356</v>
      </c>
      <c r="F12" s="282">
        <v>60994</v>
      </c>
      <c r="G12" s="282"/>
      <c r="H12" s="282"/>
      <c r="I12" s="282"/>
      <c r="J12" s="282">
        <v>94364</v>
      </c>
      <c r="K12" s="710">
        <v>18277</v>
      </c>
      <c r="L12" s="282">
        <v>18277</v>
      </c>
      <c r="M12" s="710">
        <v>104361</v>
      </c>
      <c r="N12" s="282">
        <v>101304</v>
      </c>
      <c r="O12" s="282"/>
      <c r="P12" s="282"/>
      <c r="Q12" s="282"/>
      <c r="R12" s="282"/>
      <c r="S12" s="634"/>
      <c r="T12" s="634"/>
      <c r="U12" s="632">
        <f t="shared" si="0"/>
        <v>155714</v>
      </c>
      <c r="V12" s="632">
        <f t="shared" si="1"/>
        <v>186994</v>
      </c>
      <c r="W12" s="308">
        <f t="shared" si="2"/>
        <v>180575</v>
      </c>
      <c r="X12" s="268"/>
      <c r="Y12" s="268"/>
      <c r="Z12" s="268"/>
      <c r="AA12" s="268"/>
      <c r="AB12" s="268"/>
      <c r="AC12" s="268"/>
      <c r="AD12" s="268"/>
      <c r="AE12" s="268"/>
      <c r="AF12" s="268"/>
    </row>
    <row r="13" spans="1:32" s="266" customFormat="1" ht="19.5" customHeight="1">
      <c r="A13" s="274"/>
      <c r="B13" s="268"/>
      <c r="C13" s="281" t="s">
        <v>47</v>
      </c>
      <c r="D13" s="282"/>
      <c r="E13" s="282"/>
      <c r="F13" s="282"/>
      <c r="G13" s="282"/>
      <c r="H13" s="282"/>
      <c r="I13" s="282"/>
      <c r="J13" s="282"/>
      <c r="K13" s="710"/>
      <c r="L13" s="282"/>
      <c r="M13" s="710"/>
      <c r="N13" s="282"/>
      <c r="O13" s="282"/>
      <c r="P13" s="282"/>
      <c r="Q13" s="282"/>
      <c r="R13" s="282"/>
      <c r="S13" s="634"/>
      <c r="T13" s="634"/>
      <c r="U13" s="632">
        <f t="shared" si="0"/>
        <v>0</v>
      </c>
      <c r="V13" s="632">
        <f t="shared" si="1"/>
        <v>0</v>
      </c>
      <c r="W13" s="308">
        <f t="shared" si="2"/>
        <v>0</v>
      </c>
      <c r="X13" s="268"/>
      <c r="Y13" s="268"/>
      <c r="Z13" s="268"/>
      <c r="AA13" s="268"/>
      <c r="AB13" s="268"/>
      <c r="AC13" s="268"/>
      <c r="AD13" s="268"/>
      <c r="AE13" s="268"/>
      <c r="AF13" s="268"/>
    </row>
    <row r="14" spans="1:32" s="266" customFormat="1" ht="19.5" customHeight="1" thickBot="1">
      <c r="A14" s="283"/>
      <c r="B14" s="284"/>
      <c r="C14" s="51" t="s">
        <v>48</v>
      </c>
      <c r="D14" s="275">
        <v>2129489</v>
      </c>
      <c r="E14" s="275">
        <v>709047</v>
      </c>
      <c r="F14" s="275">
        <v>657119</v>
      </c>
      <c r="G14" s="275"/>
      <c r="H14" s="275"/>
      <c r="I14" s="275"/>
      <c r="J14" s="275">
        <v>1000</v>
      </c>
      <c r="K14" s="707">
        <v>390</v>
      </c>
      <c r="L14" s="275">
        <v>390</v>
      </c>
      <c r="M14" s="707">
        <v>6510</v>
      </c>
      <c r="N14" s="275">
        <v>6511</v>
      </c>
      <c r="O14" s="275">
        <v>4813</v>
      </c>
      <c r="P14" s="275">
        <v>5653</v>
      </c>
      <c r="Q14" s="275">
        <v>5179</v>
      </c>
      <c r="R14" s="275">
        <v>1635</v>
      </c>
      <c r="S14" s="639">
        <v>22894</v>
      </c>
      <c r="T14" s="639">
        <v>13408</v>
      </c>
      <c r="U14" s="632">
        <f t="shared" si="0"/>
        <v>2136937</v>
      </c>
      <c r="V14" s="632">
        <f t="shared" si="1"/>
        <v>744494</v>
      </c>
      <c r="W14" s="308">
        <f t="shared" si="2"/>
        <v>682607</v>
      </c>
      <c r="X14" s="268"/>
      <c r="Y14" s="268"/>
      <c r="Z14" s="268"/>
      <c r="AA14" s="268"/>
      <c r="AB14" s="268"/>
      <c r="AC14" s="268"/>
      <c r="AD14" s="268"/>
      <c r="AE14" s="268"/>
      <c r="AF14" s="268"/>
    </row>
    <row r="15" spans="1:32" s="266" customFormat="1" ht="19.5" customHeight="1">
      <c r="A15" s="274"/>
      <c r="B15" s="268"/>
      <c r="C15" s="51" t="s">
        <v>49</v>
      </c>
      <c r="D15" s="275">
        <v>118226</v>
      </c>
      <c r="E15" s="275">
        <v>137173</v>
      </c>
      <c r="F15" s="275">
        <v>66465</v>
      </c>
      <c r="G15" s="275"/>
      <c r="H15" s="275"/>
      <c r="I15" s="275"/>
      <c r="J15" s="275"/>
      <c r="K15" s="707"/>
      <c r="L15" s="275"/>
      <c r="M15" s="707"/>
      <c r="N15" s="275"/>
      <c r="O15" s="275">
        <v>9400</v>
      </c>
      <c r="P15" s="275">
        <v>11284</v>
      </c>
      <c r="Q15" s="275">
        <v>11046</v>
      </c>
      <c r="R15" s="275">
        <v>10923</v>
      </c>
      <c r="S15" s="639">
        <v>13423</v>
      </c>
      <c r="T15" s="639"/>
      <c r="U15" s="632">
        <f t="shared" si="0"/>
        <v>138549</v>
      </c>
      <c r="V15" s="632">
        <f t="shared" si="1"/>
        <v>161880</v>
      </c>
      <c r="W15" s="308">
        <f t="shared" si="2"/>
        <v>77511</v>
      </c>
      <c r="X15" s="268"/>
      <c r="Y15" s="268"/>
      <c r="Z15" s="268"/>
      <c r="AA15" s="268"/>
      <c r="AB15" s="268"/>
      <c r="AC15" s="268"/>
      <c r="AD15" s="268"/>
      <c r="AE15" s="268"/>
      <c r="AF15" s="268"/>
    </row>
    <row r="16" spans="1:32" s="288" customFormat="1" ht="19.5" customHeight="1">
      <c r="A16" s="608"/>
      <c r="B16" s="285"/>
      <c r="C16" s="286" t="s">
        <v>50</v>
      </c>
      <c r="D16" s="287">
        <v>134081</v>
      </c>
      <c r="E16" s="287">
        <v>98430</v>
      </c>
      <c r="F16" s="287">
        <v>39471</v>
      </c>
      <c r="G16" s="287"/>
      <c r="H16" s="287"/>
      <c r="I16" s="287"/>
      <c r="J16" s="287"/>
      <c r="K16" s="711"/>
      <c r="L16" s="287"/>
      <c r="M16" s="711"/>
      <c r="N16" s="287"/>
      <c r="O16" s="287"/>
      <c r="P16" s="287"/>
      <c r="Q16" s="287"/>
      <c r="R16" s="287"/>
      <c r="S16" s="641"/>
      <c r="T16" s="641"/>
      <c r="U16" s="632">
        <f t="shared" si="0"/>
        <v>134081</v>
      </c>
      <c r="V16" s="632">
        <f t="shared" si="1"/>
        <v>98430</v>
      </c>
      <c r="W16" s="308">
        <f t="shared" si="2"/>
        <v>39471</v>
      </c>
      <c r="X16" s="285"/>
      <c r="Y16" s="285"/>
      <c r="Z16" s="285"/>
      <c r="AA16" s="285"/>
      <c r="AB16" s="285"/>
      <c r="AC16" s="285"/>
      <c r="AD16" s="285"/>
      <c r="AE16" s="285"/>
      <c r="AF16" s="285"/>
    </row>
    <row r="17" spans="1:32" s="288" customFormat="1" ht="19.5" customHeight="1">
      <c r="A17" s="608"/>
      <c r="B17" s="285"/>
      <c r="C17" s="286" t="s">
        <v>51</v>
      </c>
      <c r="D17" s="287">
        <v>13000</v>
      </c>
      <c r="E17" s="287"/>
      <c r="F17" s="287"/>
      <c r="G17" s="287"/>
      <c r="H17" s="287"/>
      <c r="I17" s="287"/>
      <c r="J17" s="287"/>
      <c r="K17" s="711"/>
      <c r="L17" s="287"/>
      <c r="M17" s="711"/>
      <c r="N17" s="287"/>
      <c r="O17" s="287"/>
      <c r="P17" s="287"/>
      <c r="Q17" s="287"/>
      <c r="R17" s="287"/>
      <c r="S17" s="641"/>
      <c r="T17" s="641"/>
      <c r="U17" s="632">
        <f t="shared" si="0"/>
        <v>13000</v>
      </c>
      <c r="V17" s="632">
        <f t="shared" si="1"/>
        <v>0</v>
      </c>
      <c r="W17" s="308">
        <f t="shared" si="2"/>
        <v>0</v>
      </c>
      <c r="X17" s="285"/>
      <c r="Y17" s="285"/>
      <c r="Z17" s="285"/>
      <c r="AA17" s="285"/>
      <c r="AB17" s="285"/>
      <c r="AC17" s="285"/>
      <c r="AD17" s="285"/>
      <c r="AE17" s="285"/>
      <c r="AF17" s="285"/>
    </row>
    <row r="18" spans="1:32" s="288" customFormat="1" ht="19.5" customHeight="1">
      <c r="A18" s="608"/>
      <c r="B18" s="285"/>
      <c r="C18" s="286" t="s">
        <v>52</v>
      </c>
      <c r="D18" s="287">
        <v>100000</v>
      </c>
      <c r="E18" s="287">
        <v>370</v>
      </c>
      <c r="F18" s="287"/>
      <c r="G18" s="287"/>
      <c r="H18" s="287"/>
      <c r="I18" s="287"/>
      <c r="J18" s="287"/>
      <c r="K18" s="711"/>
      <c r="L18" s="287"/>
      <c r="M18" s="711"/>
      <c r="N18" s="287"/>
      <c r="O18" s="287"/>
      <c r="P18" s="287"/>
      <c r="Q18" s="287"/>
      <c r="R18" s="287"/>
      <c r="S18" s="641"/>
      <c r="T18" s="641"/>
      <c r="U18" s="632">
        <f t="shared" si="0"/>
        <v>100000</v>
      </c>
      <c r="V18" s="632">
        <f t="shared" si="1"/>
        <v>370</v>
      </c>
      <c r="W18" s="308">
        <f t="shared" si="2"/>
        <v>0</v>
      </c>
      <c r="X18" s="285"/>
      <c r="Y18" s="285"/>
      <c r="Z18" s="285"/>
      <c r="AA18" s="285"/>
      <c r="AB18" s="285"/>
      <c r="AC18" s="285"/>
      <c r="AD18" s="285"/>
      <c r="AE18" s="285"/>
      <c r="AF18" s="285"/>
    </row>
    <row r="19" spans="1:32" s="288" customFormat="1" ht="19.5" customHeight="1">
      <c r="A19" s="608"/>
      <c r="B19" s="285"/>
      <c r="C19" s="286" t="s">
        <v>53</v>
      </c>
      <c r="D19" s="287">
        <f>37632+9000</f>
        <v>46632</v>
      </c>
      <c r="E19" s="287">
        <v>3567</v>
      </c>
      <c r="F19" s="287"/>
      <c r="G19" s="287"/>
      <c r="H19" s="287"/>
      <c r="I19" s="287"/>
      <c r="J19" s="287"/>
      <c r="K19" s="711"/>
      <c r="L19" s="287"/>
      <c r="M19" s="711"/>
      <c r="N19" s="287"/>
      <c r="O19" s="287"/>
      <c r="P19" s="287"/>
      <c r="Q19" s="287"/>
      <c r="R19" s="287"/>
      <c r="S19" s="641"/>
      <c r="T19" s="641"/>
      <c r="U19" s="632">
        <f t="shared" si="0"/>
        <v>46632</v>
      </c>
      <c r="V19" s="632">
        <f t="shared" si="1"/>
        <v>3567</v>
      </c>
      <c r="W19" s="308">
        <f t="shared" si="2"/>
        <v>0</v>
      </c>
      <c r="X19" s="285"/>
      <c r="Y19" s="285"/>
      <c r="Z19" s="285"/>
      <c r="AA19" s="285"/>
      <c r="AB19" s="285"/>
      <c r="AC19" s="285"/>
      <c r="AD19" s="285"/>
      <c r="AE19" s="285"/>
      <c r="AF19" s="285"/>
    </row>
    <row r="20" spans="1:32" s="288" customFormat="1" ht="19.5" customHeight="1">
      <c r="A20" s="608"/>
      <c r="B20" s="285"/>
      <c r="C20" s="289" t="s">
        <v>102</v>
      </c>
      <c r="D20" s="287">
        <v>50000</v>
      </c>
      <c r="E20" s="287">
        <v>13189</v>
      </c>
      <c r="F20" s="287"/>
      <c r="G20" s="287"/>
      <c r="H20" s="287"/>
      <c r="I20" s="287"/>
      <c r="J20" s="287"/>
      <c r="K20" s="711"/>
      <c r="L20" s="287"/>
      <c r="M20" s="711"/>
      <c r="N20" s="287"/>
      <c r="O20" s="287"/>
      <c r="P20" s="287"/>
      <c r="Q20" s="287"/>
      <c r="R20" s="287"/>
      <c r="S20" s="641"/>
      <c r="T20" s="641"/>
      <c r="U20" s="632">
        <f t="shared" si="0"/>
        <v>50000</v>
      </c>
      <c r="V20" s="632">
        <f t="shared" si="1"/>
        <v>13189</v>
      </c>
      <c r="W20" s="308">
        <f t="shared" si="2"/>
        <v>0</v>
      </c>
      <c r="X20" s="285"/>
      <c r="Y20" s="285"/>
      <c r="Z20" s="285"/>
      <c r="AA20" s="285"/>
      <c r="AB20" s="285"/>
      <c r="AC20" s="285"/>
      <c r="AD20" s="285"/>
      <c r="AE20" s="285"/>
      <c r="AF20" s="285"/>
    </row>
    <row r="21" spans="1:32" s="288" customFormat="1" ht="19.5" customHeight="1">
      <c r="A21" s="608"/>
      <c r="B21" s="285"/>
      <c r="C21" s="289" t="s">
        <v>760</v>
      </c>
      <c r="D21" s="287"/>
      <c r="E21" s="287">
        <v>6130</v>
      </c>
      <c r="F21" s="287"/>
      <c r="G21" s="287"/>
      <c r="H21" s="287"/>
      <c r="I21" s="287"/>
      <c r="J21" s="287"/>
      <c r="K21" s="711"/>
      <c r="L21" s="287"/>
      <c r="M21" s="711"/>
      <c r="N21" s="287"/>
      <c r="O21" s="287"/>
      <c r="P21" s="287"/>
      <c r="Q21" s="287"/>
      <c r="R21" s="287"/>
      <c r="S21" s="641"/>
      <c r="T21" s="641"/>
      <c r="U21" s="632">
        <f t="shared" si="0"/>
        <v>0</v>
      </c>
      <c r="V21" s="632">
        <f t="shared" si="1"/>
        <v>6130</v>
      </c>
      <c r="W21" s="308">
        <f t="shared" si="2"/>
        <v>0</v>
      </c>
      <c r="X21" s="285"/>
      <c r="Y21" s="285"/>
      <c r="Z21" s="285"/>
      <c r="AA21" s="285"/>
      <c r="AB21" s="285"/>
      <c r="AC21" s="285"/>
      <c r="AD21" s="285"/>
      <c r="AE21" s="285"/>
      <c r="AF21" s="285"/>
    </row>
    <row r="22" spans="1:32" s="288" customFormat="1" ht="19.5" customHeight="1">
      <c r="A22" s="608"/>
      <c r="B22" s="285"/>
      <c r="C22" s="286" t="s">
        <v>55</v>
      </c>
      <c r="D22" s="287">
        <f>SUM(D23:D25)</f>
        <v>2280302</v>
      </c>
      <c r="E22" s="287">
        <v>0</v>
      </c>
      <c r="F22" s="287">
        <f>SUM(F23:F25)</f>
        <v>0</v>
      </c>
      <c r="G22" s="287">
        <f>SUM(G23:G25)</f>
        <v>0</v>
      </c>
      <c r="H22" s="287">
        <v>0</v>
      </c>
      <c r="I22" s="287">
        <f aca="true" t="shared" si="4" ref="I22:T22">SUM(I23:I25)</f>
        <v>0</v>
      </c>
      <c r="J22" s="287">
        <f t="shared" si="4"/>
        <v>0</v>
      </c>
      <c r="K22" s="287">
        <v>0</v>
      </c>
      <c r="L22" s="287">
        <f t="shared" si="4"/>
        <v>0</v>
      </c>
      <c r="M22" s="287">
        <v>0</v>
      </c>
      <c r="N22" s="287">
        <f t="shared" si="4"/>
        <v>0</v>
      </c>
      <c r="O22" s="287">
        <f t="shared" si="4"/>
        <v>0</v>
      </c>
      <c r="P22" s="287">
        <v>0</v>
      </c>
      <c r="Q22" s="287">
        <f t="shared" si="4"/>
        <v>0</v>
      </c>
      <c r="R22" s="287">
        <f t="shared" si="4"/>
        <v>0</v>
      </c>
      <c r="S22" s="287">
        <f t="shared" si="4"/>
        <v>0</v>
      </c>
      <c r="T22" s="287">
        <f t="shared" si="4"/>
        <v>0</v>
      </c>
      <c r="U22" s="632">
        <f t="shared" si="0"/>
        <v>2280302</v>
      </c>
      <c r="V22" s="632">
        <f t="shared" si="1"/>
        <v>0</v>
      </c>
      <c r="W22" s="308">
        <f t="shared" si="2"/>
        <v>0</v>
      </c>
      <c r="X22" s="285"/>
      <c r="Y22" s="285"/>
      <c r="Z22" s="285"/>
      <c r="AA22" s="285"/>
      <c r="AB22" s="285"/>
      <c r="AC22" s="285"/>
      <c r="AD22" s="285"/>
      <c r="AE22" s="285"/>
      <c r="AF22" s="285"/>
    </row>
    <row r="23" spans="1:32" s="288" customFormat="1" ht="19.5" customHeight="1">
      <c r="A23" s="608"/>
      <c r="B23" s="285"/>
      <c r="C23" s="281" t="s">
        <v>56</v>
      </c>
      <c r="D23" s="282">
        <v>2250302</v>
      </c>
      <c r="E23" s="282"/>
      <c r="F23" s="282"/>
      <c r="G23" s="282"/>
      <c r="H23" s="282"/>
      <c r="I23" s="282"/>
      <c r="J23" s="282"/>
      <c r="K23" s="710"/>
      <c r="L23" s="282"/>
      <c r="M23" s="710"/>
      <c r="N23" s="282"/>
      <c r="O23" s="282"/>
      <c r="P23" s="282"/>
      <c r="Q23" s="282"/>
      <c r="R23" s="282"/>
      <c r="S23" s="634"/>
      <c r="T23" s="634"/>
      <c r="U23" s="632">
        <f t="shared" si="0"/>
        <v>2250302</v>
      </c>
      <c r="V23" s="632">
        <f t="shared" si="1"/>
        <v>0</v>
      </c>
      <c r="W23" s="308">
        <f t="shared" si="2"/>
        <v>0</v>
      </c>
      <c r="X23" s="285"/>
      <c r="Y23" s="285"/>
      <c r="Z23" s="285"/>
      <c r="AA23" s="285"/>
      <c r="AB23" s="285"/>
      <c r="AC23" s="285"/>
      <c r="AD23" s="285"/>
      <c r="AE23" s="285"/>
      <c r="AF23" s="285"/>
    </row>
    <row r="24" spans="1:32" s="288" customFormat="1" ht="19.5" customHeight="1">
      <c r="A24" s="608"/>
      <c r="B24" s="285"/>
      <c r="C24" s="281" t="s">
        <v>57</v>
      </c>
      <c r="D24" s="282">
        <v>30000</v>
      </c>
      <c r="E24" s="282"/>
      <c r="F24" s="282"/>
      <c r="G24" s="282"/>
      <c r="H24" s="282"/>
      <c r="I24" s="282"/>
      <c r="J24" s="282"/>
      <c r="K24" s="710"/>
      <c r="L24" s="282"/>
      <c r="M24" s="710"/>
      <c r="N24" s="282"/>
      <c r="O24" s="282"/>
      <c r="P24" s="282"/>
      <c r="Q24" s="282"/>
      <c r="R24" s="282"/>
      <c r="S24" s="634"/>
      <c r="T24" s="634"/>
      <c r="U24" s="632">
        <f t="shared" si="0"/>
        <v>30000</v>
      </c>
      <c r="V24" s="632">
        <f t="shared" si="1"/>
        <v>0</v>
      </c>
      <c r="W24" s="308">
        <f t="shared" si="2"/>
        <v>0</v>
      </c>
      <c r="X24" s="285"/>
      <c r="Y24" s="285"/>
      <c r="Z24" s="285"/>
      <c r="AA24" s="285"/>
      <c r="AB24" s="285"/>
      <c r="AC24" s="285"/>
      <c r="AD24" s="285"/>
      <c r="AE24" s="285"/>
      <c r="AF24" s="285"/>
    </row>
    <row r="25" spans="1:32" s="288" customFormat="1" ht="30.75" customHeight="1">
      <c r="A25" s="608"/>
      <c r="B25" s="285"/>
      <c r="C25" s="267" t="s">
        <v>58</v>
      </c>
      <c r="D25" s="282"/>
      <c r="E25" s="282"/>
      <c r="F25" s="282"/>
      <c r="G25" s="282"/>
      <c r="H25" s="282"/>
      <c r="I25" s="282"/>
      <c r="J25" s="282"/>
      <c r="K25" s="710"/>
      <c r="L25" s="282"/>
      <c r="M25" s="710"/>
      <c r="N25" s="282"/>
      <c r="O25" s="282"/>
      <c r="P25" s="282"/>
      <c r="Q25" s="282"/>
      <c r="R25" s="282"/>
      <c r="S25" s="634"/>
      <c r="T25" s="634"/>
      <c r="U25" s="632">
        <f t="shared" si="0"/>
        <v>0</v>
      </c>
      <c r="V25" s="632">
        <f t="shared" si="1"/>
        <v>0</v>
      </c>
      <c r="W25" s="308">
        <f t="shared" si="2"/>
        <v>0</v>
      </c>
      <c r="X25" s="285"/>
      <c r="Y25" s="285"/>
      <c r="Z25" s="285"/>
      <c r="AA25" s="285"/>
      <c r="AB25" s="285"/>
      <c r="AC25" s="285"/>
      <c r="AD25" s="285"/>
      <c r="AE25" s="285"/>
      <c r="AF25" s="285"/>
    </row>
    <row r="26" spans="1:32" s="288" customFormat="1" ht="19.5" customHeight="1">
      <c r="A26" s="608"/>
      <c r="B26" s="285"/>
      <c r="C26" s="286" t="s">
        <v>59</v>
      </c>
      <c r="D26" s="287">
        <f>SUM(D27,D30)</f>
        <v>8300</v>
      </c>
      <c r="E26" s="287">
        <v>239745</v>
      </c>
      <c r="F26" s="287">
        <f aca="true" t="shared" si="5" ref="F26:T26">SUM(F27+F30)</f>
        <v>147316</v>
      </c>
      <c r="G26" s="287">
        <f t="shared" si="5"/>
        <v>0</v>
      </c>
      <c r="H26" s="287">
        <v>0</v>
      </c>
      <c r="I26" s="287">
        <f t="shared" si="5"/>
        <v>0</v>
      </c>
      <c r="J26" s="287">
        <f t="shared" si="5"/>
        <v>1800</v>
      </c>
      <c r="K26" s="287">
        <v>600</v>
      </c>
      <c r="L26" s="287">
        <f t="shared" si="5"/>
        <v>600</v>
      </c>
      <c r="M26" s="287">
        <v>1200</v>
      </c>
      <c r="N26" s="287">
        <f t="shared" si="5"/>
        <v>500</v>
      </c>
      <c r="O26" s="287">
        <f t="shared" si="5"/>
        <v>0</v>
      </c>
      <c r="P26" s="287">
        <v>0</v>
      </c>
      <c r="Q26" s="287">
        <f t="shared" si="5"/>
        <v>0</v>
      </c>
      <c r="R26" s="287">
        <f t="shared" si="5"/>
        <v>0</v>
      </c>
      <c r="S26" s="287">
        <f t="shared" si="5"/>
        <v>0</v>
      </c>
      <c r="T26" s="287">
        <f t="shared" si="5"/>
        <v>0</v>
      </c>
      <c r="U26" s="632">
        <f t="shared" si="0"/>
        <v>10100</v>
      </c>
      <c r="V26" s="632">
        <f t="shared" si="1"/>
        <v>241545</v>
      </c>
      <c r="W26" s="308">
        <f t="shared" si="2"/>
        <v>148416</v>
      </c>
      <c r="X26" s="285"/>
      <c r="Y26" s="285"/>
      <c r="Z26" s="285"/>
      <c r="AA26" s="285"/>
      <c r="AB26" s="285"/>
      <c r="AC26" s="285"/>
      <c r="AD26" s="285"/>
      <c r="AE26" s="285"/>
      <c r="AF26" s="285"/>
    </row>
    <row r="27" spans="1:32" s="290" customFormat="1" ht="19.5" customHeight="1">
      <c r="A27" s="609"/>
      <c r="B27" s="292"/>
      <c r="C27" s="281" t="s">
        <v>60</v>
      </c>
      <c r="D27" s="291">
        <f aca="true" t="shared" si="6" ref="D27:I27">SUM(D28:D29)</f>
        <v>3500</v>
      </c>
      <c r="E27" s="291">
        <f t="shared" si="6"/>
        <v>100</v>
      </c>
      <c r="F27" s="291">
        <f t="shared" si="6"/>
        <v>100</v>
      </c>
      <c r="G27" s="291">
        <f t="shared" si="6"/>
        <v>0</v>
      </c>
      <c r="H27" s="291">
        <f t="shared" si="6"/>
        <v>0</v>
      </c>
      <c r="I27" s="291">
        <f t="shared" si="6"/>
        <v>0</v>
      </c>
      <c r="J27" s="291">
        <f aca="true" t="shared" si="7" ref="J27:O27">SUM(J28:J29)</f>
        <v>1800</v>
      </c>
      <c r="K27" s="291">
        <f t="shared" si="7"/>
        <v>600</v>
      </c>
      <c r="L27" s="291">
        <f t="shared" si="7"/>
        <v>600</v>
      </c>
      <c r="M27" s="712">
        <v>1200</v>
      </c>
      <c r="N27" s="291">
        <f t="shared" si="7"/>
        <v>500</v>
      </c>
      <c r="O27" s="291">
        <f t="shared" si="7"/>
        <v>0</v>
      </c>
      <c r="P27" s="291"/>
      <c r="Q27" s="291"/>
      <c r="R27" s="291">
        <f>SUM(R28:R29)</f>
        <v>0</v>
      </c>
      <c r="S27" s="642"/>
      <c r="T27" s="642"/>
      <c r="U27" s="632">
        <f t="shared" si="0"/>
        <v>5300</v>
      </c>
      <c r="V27" s="632">
        <f t="shared" si="1"/>
        <v>1900</v>
      </c>
      <c r="W27" s="308">
        <f t="shared" si="2"/>
        <v>1200</v>
      </c>
      <c r="X27" s="292"/>
      <c r="Y27" s="292"/>
      <c r="Z27" s="292"/>
      <c r="AA27" s="292"/>
      <c r="AB27" s="292"/>
      <c r="AC27" s="292"/>
      <c r="AD27" s="292"/>
      <c r="AE27" s="292"/>
      <c r="AF27" s="292"/>
    </row>
    <row r="28" spans="1:32" s="293" customFormat="1" ht="19.5" customHeight="1">
      <c r="A28" s="610"/>
      <c r="B28" s="296"/>
      <c r="C28" s="294" t="s">
        <v>61</v>
      </c>
      <c r="D28" s="295">
        <v>3500</v>
      </c>
      <c r="E28" s="295">
        <v>100</v>
      </c>
      <c r="F28" s="295">
        <v>100</v>
      </c>
      <c r="G28" s="295"/>
      <c r="H28" s="295"/>
      <c r="I28" s="295"/>
      <c r="J28" s="295"/>
      <c r="K28" s="713"/>
      <c r="L28" s="295"/>
      <c r="M28" s="713"/>
      <c r="N28" s="295"/>
      <c r="O28" s="295"/>
      <c r="P28" s="295"/>
      <c r="Q28" s="295"/>
      <c r="R28" s="295"/>
      <c r="S28" s="643"/>
      <c r="T28" s="643"/>
      <c r="U28" s="632">
        <f t="shared" si="0"/>
        <v>3500</v>
      </c>
      <c r="V28" s="632">
        <f t="shared" si="1"/>
        <v>100</v>
      </c>
      <c r="W28" s="308">
        <f t="shared" si="2"/>
        <v>100</v>
      </c>
      <c r="X28" s="296"/>
      <c r="Y28" s="296"/>
      <c r="Z28" s="296"/>
      <c r="AA28" s="296"/>
      <c r="AB28" s="296"/>
      <c r="AC28" s="296"/>
      <c r="AD28" s="296"/>
      <c r="AE28" s="296"/>
      <c r="AF28" s="296"/>
    </row>
    <row r="29" spans="1:32" s="293" customFormat="1" ht="19.5" customHeight="1">
      <c r="A29" s="610"/>
      <c r="B29" s="296"/>
      <c r="C29" s="294" t="s">
        <v>62</v>
      </c>
      <c r="D29" s="295"/>
      <c r="E29" s="295"/>
      <c r="F29" s="295"/>
      <c r="G29" s="295"/>
      <c r="H29" s="295"/>
      <c r="I29" s="295"/>
      <c r="J29" s="295">
        <v>1800</v>
      </c>
      <c r="K29" s="713">
        <v>600</v>
      </c>
      <c r="L29" s="295">
        <v>600</v>
      </c>
      <c r="M29" s="713">
        <v>1200</v>
      </c>
      <c r="N29" s="295">
        <v>500</v>
      </c>
      <c r="O29" s="295"/>
      <c r="P29" s="295"/>
      <c r="Q29" s="295"/>
      <c r="R29" s="295"/>
      <c r="S29" s="643"/>
      <c r="T29" s="643"/>
      <c r="U29" s="632">
        <f t="shared" si="0"/>
        <v>1800</v>
      </c>
      <c r="V29" s="632">
        <f t="shared" si="1"/>
        <v>1800</v>
      </c>
      <c r="W29" s="308">
        <f t="shared" si="2"/>
        <v>1100</v>
      </c>
      <c r="X29" s="296"/>
      <c r="Y29" s="296"/>
      <c r="Z29" s="296"/>
      <c r="AA29" s="296"/>
      <c r="AB29" s="296"/>
      <c r="AC29" s="296"/>
      <c r="AD29" s="296"/>
      <c r="AE29" s="296"/>
      <c r="AF29" s="296"/>
    </row>
    <row r="30" spans="1:32" s="290" customFormat="1" ht="19.5" customHeight="1">
      <c r="A30" s="609"/>
      <c r="B30" s="292"/>
      <c r="C30" s="281" t="s">
        <v>63</v>
      </c>
      <c r="D30" s="282">
        <f>SUM(D31:D32)</f>
        <v>4800</v>
      </c>
      <c r="E30" s="282">
        <v>239645</v>
      </c>
      <c r="F30" s="282">
        <f aca="true" t="shared" si="8" ref="F30:T30">SUM(F31:F33)</f>
        <v>147216</v>
      </c>
      <c r="G30" s="282">
        <f t="shared" si="8"/>
        <v>0</v>
      </c>
      <c r="H30" s="282">
        <v>0</v>
      </c>
      <c r="I30" s="282">
        <f t="shared" si="8"/>
        <v>0</v>
      </c>
      <c r="J30" s="282">
        <f t="shared" si="8"/>
        <v>0</v>
      </c>
      <c r="K30" s="282">
        <v>0</v>
      </c>
      <c r="L30" s="282">
        <f t="shared" si="8"/>
        <v>0</v>
      </c>
      <c r="M30" s="282">
        <v>0</v>
      </c>
      <c r="N30" s="282">
        <f t="shared" si="8"/>
        <v>0</v>
      </c>
      <c r="O30" s="282">
        <f t="shared" si="8"/>
        <v>0</v>
      </c>
      <c r="P30" s="282">
        <v>0</v>
      </c>
      <c r="Q30" s="282">
        <f t="shared" si="8"/>
        <v>0</v>
      </c>
      <c r="R30" s="282">
        <f t="shared" si="8"/>
        <v>0</v>
      </c>
      <c r="S30" s="282">
        <f t="shared" si="8"/>
        <v>0</v>
      </c>
      <c r="T30" s="282">
        <f t="shared" si="8"/>
        <v>0</v>
      </c>
      <c r="U30" s="632">
        <f t="shared" si="0"/>
        <v>4800</v>
      </c>
      <c r="V30" s="632">
        <f t="shared" si="1"/>
        <v>239645</v>
      </c>
      <c r="W30" s="308">
        <f t="shared" si="2"/>
        <v>147216</v>
      </c>
      <c r="X30" s="292"/>
      <c r="Y30" s="292"/>
      <c r="Z30" s="292"/>
      <c r="AA30" s="292"/>
      <c r="AB30" s="292"/>
      <c r="AC30" s="292"/>
      <c r="AD30" s="292"/>
      <c r="AE30" s="292"/>
      <c r="AF30" s="292"/>
    </row>
    <row r="31" spans="1:32" s="293" customFormat="1" ht="19.5" customHeight="1">
      <c r="A31" s="610"/>
      <c r="B31" s="296"/>
      <c r="C31" s="294" t="s">
        <v>64</v>
      </c>
      <c r="D31" s="295">
        <v>2000</v>
      </c>
      <c r="E31" s="295">
        <v>2000</v>
      </c>
      <c r="F31" s="295">
        <v>2000</v>
      </c>
      <c r="G31" s="295"/>
      <c r="H31" s="295"/>
      <c r="I31" s="295"/>
      <c r="J31" s="295"/>
      <c r="K31" s="713"/>
      <c r="L31" s="295"/>
      <c r="M31" s="713"/>
      <c r="N31" s="295"/>
      <c r="O31" s="295"/>
      <c r="P31" s="295"/>
      <c r="Q31" s="295"/>
      <c r="R31" s="295"/>
      <c r="S31" s="643"/>
      <c r="T31" s="643"/>
      <c r="U31" s="632">
        <f t="shared" si="0"/>
        <v>2000</v>
      </c>
      <c r="V31" s="632">
        <f t="shared" si="1"/>
        <v>2000</v>
      </c>
      <c r="W31" s="308">
        <f t="shared" si="2"/>
        <v>2000</v>
      </c>
      <c r="X31" s="296"/>
      <c r="Y31" s="296"/>
      <c r="Z31" s="296"/>
      <c r="AA31" s="296"/>
      <c r="AB31" s="296"/>
      <c r="AC31" s="296"/>
      <c r="AD31" s="296"/>
      <c r="AE31" s="296"/>
      <c r="AF31" s="296"/>
    </row>
    <row r="32" spans="1:32" s="293" customFormat="1" ht="30.75" customHeight="1">
      <c r="A32" s="610"/>
      <c r="B32" s="296"/>
      <c r="C32" s="299" t="s">
        <v>65</v>
      </c>
      <c r="D32" s="295">
        <v>2800</v>
      </c>
      <c r="E32" s="295">
        <v>10108</v>
      </c>
      <c r="F32" s="295">
        <v>10108</v>
      </c>
      <c r="G32" s="295"/>
      <c r="H32" s="295"/>
      <c r="I32" s="295"/>
      <c r="J32" s="295"/>
      <c r="K32" s="714"/>
      <c r="L32" s="295"/>
      <c r="M32" s="714"/>
      <c r="N32" s="295"/>
      <c r="O32" s="295"/>
      <c r="P32" s="295"/>
      <c r="Q32" s="295"/>
      <c r="R32" s="295"/>
      <c r="S32" s="643"/>
      <c r="T32" s="643"/>
      <c r="U32" s="632">
        <f t="shared" si="0"/>
        <v>2800</v>
      </c>
      <c r="V32" s="632">
        <f t="shared" si="1"/>
        <v>10108</v>
      </c>
      <c r="W32" s="308">
        <f t="shared" si="2"/>
        <v>10108</v>
      </c>
      <c r="X32" s="296"/>
      <c r="Y32" s="296"/>
      <c r="Z32" s="296"/>
      <c r="AA32" s="296"/>
      <c r="AB32" s="296"/>
      <c r="AC32" s="296"/>
      <c r="AD32" s="296"/>
      <c r="AE32" s="296"/>
      <c r="AF32" s="296"/>
    </row>
    <row r="33" spans="1:32" s="293" customFormat="1" ht="19.5" customHeight="1">
      <c r="A33" s="610"/>
      <c r="B33" s="296"/>
      <c r="C33" s="312" t="s">
        <v>774</v>
      </c>
      <c r="D33" s="295"/>
      <c r="E33" s="295">
        <v>227537</v>
      </c>
      <c r="F33" s="295">
        <v>135108</v>
      </c>
      <c r="G33" s="295"/>
      <c r="H33" s="295"/>
      <c r="I33" s="295"/>
      <c r="J33" s="295"/>
      <c r="K33" s="714"/>
      <c r="L33" s="295"/>
      <c r="M33" s="714"/>
      <c r="N33" s="295"/>
      <c r="O33" s="295"/>
      <c r="P33" s="295"/>
      <c r="Q33" s="295"/>
      <c r="R33" s="295"/>
      <c r="S33" s="643"/>
      <c r="T33" s="643"/>
      <c r="U33" s="632">
        <f t="shared" si="0"/>
        <v>0</v>
      </c>
      <c r="V33" s="632">
        <f t="shared" si="1"/>
        <v>227537</v>
      </c>
      <c r="W33" s="308">
        <f t="shared" si="2"/>
        <v>135108</v>
      </c>
      <c r="X33" s="296"/>
      <c r="Y33" s="296"/>
      <c r="Z33" s="296"/>
      <c r="AA33" s="296"/>
      <c r="AB33" s="296"/>
      <c r="AC33" s="296"/>
      <c r="AD33" s="296"/>
      <c r="AE33" s="296"/>
      <c r="AF33" s="296"/>
    </row>
    <row r="34" spans="1:32" s="266" customFormat="1" ht="19.5" customHeight="1">
      <c r="A34" s="274"/>
      <c r="B34" s="268"/>
      <c r="C34" s="276" t="s">
        <v>66</v>
      </c>
      <c r="D34" s="275">
        <f>SUM(D35:D36)</f>
        <v>28046</v>
      </c>
      <c r="E34" s="275">
        <v>28046</v>
      </c>
      <c r="F34" s="275">
        <f aca="true" t="shared" si="9" ref="F34:T34">SUM(F35:F36)</f>
        <v>22988</v>
      </c>
      <c r="G34" s="275">
        <f t="shared" si="9"/>
        <v>0</v>
      </c>
      <c r="H34" s="275">
        <v>0</v>
      </c>
      <c r="I34" s="275">
        <f t="shared" si="9"/>
        <v>0</v>
      </c>
      <c r="J34" s="275">
        <f t="shared" si="9"/>
        <v>0</v>
      </c>
      <c r="K34" s="275">
        <v>0</v>
      </c>
      <c r="L34" s="275">
        <f t="shared" si="9"/>
        <v>0</v>
      </c>
      <c r="M34" s="275">
        <v>0</v>
      </c>
      <c r="N34" s="275">
        <f t="shared" si="9"/>
        <v>0</v>
      </c>
      <c r="O34" s="275">
        <f t="shared" si="9"/>
        <v>0</v>
      </c>
      <c r="P34" s="275">
        <v>0</v>
      </c>
      <c r="Q34" s="275">
        <f t="shared" si="9"/>
        <v>0</v>
      </c>
      <c r="R34" s="275">
        <f t="shared" si="9"/>
        <v>0</v>
      </c>
      <c r="S34" s="275">
        <f t="shared" si="9"/>
        <v>0</v>
      </c>
      <c r="T34" s="275">
        <f t="shared" si="9"/>
        <v>0</v>
      </c>
      <c r="U34" s="632">
        <f t="shared" si="0"/>
        <v>28046</v>
      </c>
      <c r="V34" s="632">
        <f t="shared" si="1"/>
        <v>28046</v>
      </c>
      <c r="W34" s="308">
        <f t="shared" si="2"/>
        <v>22988</v>
      </c>
      <c r="X34" s="268"/>
      <c r="Y34" s="268"/>
      <c r="Z34" s="268"/>
      <c r="AA34" s="268"/>
      <c r="AB34" s="268"/>
      <c r="AC34" s="268"/>
      <c r="AD34" s="268"/>
      <c r="AE34" s="268"/>
      <c r="AF34" s="268"/>
    </row>
    <row r="35" spans="1:32" s="290" customFormat="1" ht="19.5" customHeight="1">
      <c r="A35" s="609"/>
      <c r="B35" s="292"/>
      <c r="C35" s="267" t="s">
        <v>67</v>
      </c>
      <c r="D35" s="282">
        <v>25000</v>
      </c>
      <c r="E35" s="282">
        <v>25000</v>
      </c>
      <c r="F35" s="282">
        <v>20090</v>
      </c>
      <c r="G35" s="282"/>
      <c r="H35" s="282"/>
      <c r="I35" s="282"/>
      <c r="J35" s="282"/>
      <c r="K35" s="715"/>
      <c r="L35" s="282"/>
      <c r="M35" s="715"/>
      <c r="N35" s="282"/>
      <c r="O35" s="282"/>
      <c r="P35" s="282"/>
      <c r="Q35" s="282"/>
      <c r="R35" s="282"/>
      <c r="S35" s="634"/>
      <c r="T35" s="634"/>
      <c r="U35" s="632">
        <f t="shared" si="0"/>
        <v>25000</v>
      </c>
      <c r="V35" s="632">
        <f t="shared" si="1"/>
        <v>25000</v>
      </c>
      <c r="W35" s="308">
        <f t="shared" si="2"/>
        <v>20090</v>
      </c>
      <c r="X35" s="292"/>
      <c r="Y35" s="292"/>
      <c r="Z35" s="292"/>
      <c r="AA35" s="292"/>
      <c r="AB35" s="292"/>
      <c r="AC35" s="292"/>
      <c r="AD35" s="292"/>
      <c r="AE35" s="292"/>
      <c r="AF35" s="292"/>
    </row>
    <row r="36" spans="1:32" s="290" customFormat="1" ht="19.5" customHeight="1">
      <c r="A36" s="609"/>
      <c r="B36" s="292"/>
      <c r="C36" s="267" t="s">
        <v>68</v>
      </c>
      <c r="D36" s="282">
        <v>3046</v>
      </c>
      <c r="E36" s="282">
        <v>3046</v>
      </c>
      <c r="F36" s="282">
        <v>2898</v>
      </c>
      <c r="G36" s="282"/>
      <c r="H36" s="282"/>
      <c r="I36" s="282"/>
      <c r="J36" s="282"/>
      <c r="K36" s="715"/>
      <c r="L36" s="282"/>
      <c r="M36" s="715"/>
      <c r="N36" s="282"/>
      <c r="O36" s="282"/>
      <c r="P36" s="282"/>
      <c r="Q36" s="282"/>
      <c r="R36" s="282"/>
      <c r="S36" s="634"/>
      <c r="T36" s="634"/>
      <c r="U36" s="632">
        <f t="shared" si="0"/>
        <v>3046</v>
      </c>
      <c r="V36" s="632">
        <f t="shared" si="1"/>
        <v>3046</v>
      </c>
      <c r="W36" s="308">
        <f t="shared" si="2"/>
        <v>2898</v>
      </c>
      <c r="X36" s="292"/>
      <c r="Y36" s="292"/>
      <c r="Z36" s="292"/>
      <c r="AA36" s="292"/>
      <c r="AB36" s="292"/>
      <c r="AC36" s="292"/>
      <c r="AD36" s="292"/>
      <c r="AE36" s="292"/>
      <c r="AF36" s="292"/>
    </row>
    <row r="37" spans="1:32" s="266" customFormat="1" ht="19.5" customHeight="1">
      <c r="A37" s="274"/>
      <c r="B37" s="268"/>
      <c r="C37" s="51" t="s">
        <v>69</v>
      </c>
      <c r="D37" s="275">
        <f>SUM(D38:D39)</f>
        <v>123539</v>
      </c>
      <c r="E37" s="275">
        <v>98579</v>
      </c>
      <c r="F37" s="275">
        <f aca="true" t="shared" si="10" ref="F37:T37">SUM(F38:F39)</f>
        <v>98516</v>
      </c>
      <c r="G37" s="275">
        <f t="shared" si="10"/>
        <v>0</v>
      </c>
      <c r="H37" s="275">
        <v>0</v>
      </c>
      <c r="I37" s="275">
        <f t="shared" si="10"/>
        <v>0</v>
      </c>
      <c r="J37" s="275">
        <f t="shared" si="10"/>
        <v>0</v>
      </c>
      <c r="K37" s="275">
        <v>0</v>
      </c>
      <c r="L37" s="275">
        <f t="shared" si="10"/>
        <v>0</v>
      </c>
      <c r="M37" s="275">
        <v>0</v>
      </c>
      <c r="N37" s="275">
        <f t="shared" si="10"/>
        <v>0</v>
      </c>
      <c r="O37" s="275">
        <f t="shared" si="10"/>
        <v>0</v>
      </c>
      <c r="P37" s="275">
        <v>0</v>
      </c>
      <c r="Q37" s="275">
        <f t="shared" si="10"/>
        <v>0</v>
      </c>
      <c r="R37" s="275">
        <f t="shared" si="10"/>
        <v>0</v>
      </c>
      <c r="S37" s="275">
        <f t="shared" si="10"/>
        <v>0</v>
      </c>
      <c r="T37" s="275">
        <f t="shared" si="10"/>
        <v>0</v>
      </c>
      <c r="U37" s="632">
        <f t="shared" si="0"/>
        <v>123539</v>
      </c>
      <c r="V37" s="632">
        <f t="shared" si="1"/>
        <v>98579</v>
      </c>
      <c r="W37" s="308">
        <f t="shared" si="2"/>
        <v>98516</v>
      </c>
      <c r="X37" s="268"/>
      <c r="Y37" s="268"/>
      <c r="Z37" s="268"/>
      <c r="AA37" s="268"/>
      <c r="AB37" s="268"/>
      <c r="AC37" s="268"/>
      <c r="AD37" s="268"/>
      <c r="AE37" s="268"/>
      <c r="AF37" s="268"/>
    </row>
    <row r="38" spans="1:32" s="290" customFormat="1" ht="19.5" customHeight="1">
      <c r="A38" s="609"/>
      <c r="B38" s="292"/>
      <c r="C38" s="281" t="s">
        <v>70</v>
      </c>
      <c r="D38" s="282">
        <v>17172</v>
      </c>
      <c r="E38" s="282">
        <v>18523</v>
      </c>
      <c r="F38" s="282">
        <v>18460</v>
      </c>
      <c r="G38" s="282"/>
      <c r="H38" s="282"/>
      <c r="I38" s="282"/>
      <c r="J38" s="282"/>
      <c r="K38" s="715"/>
      <c r="L38" s="282"/>
      <c r="M38" s="715"/>
      <c r="N38" s="282"/>
      <c r="O38" s="282"/>
      <c r="P38" s="282"/>
      <c r="Q38" s="282"/>
      <c r="R38" s="282"/>
      <c r="S38" s="634"/>
      <c r="T38" s="634"/>
      <c r="U38" s="632">
        <f t="shared" si="0"/>
        <v>17172</v>
      </c>
      <c r="V38" s="632">
        <f t="shared" si="1"/>
        <v>18523</v>
      </c>
      <c r="W38" s="308">
        <f t="shared" si="2"/>
        <v>18460</v>
      </c>
      <c r="X38" s="292"/>
      <c r="Y38" s="292"/>
      <c r="Z38" s="292"/>
      <c r="AA38" s="292"/>
      <c r="AB38" s="292"/>
      <c r="AC38" s="292"/>
      <c r="AD38" s="292"/>
      <c r="AE38" s="292"/>
      <c r="AF38" s="292"/>
    </row>
    <row r="39" spans="1:32" s="290" customFormat="1" ht="19.5" customHeight="1">
      <c r="A39" s="609"/>
      <c r="B39" s="292"/>
      <c r="C39" s="281" t="s">
        <v>71</v>
      </c>
      <c r="D39" s="282">
        <v>106367</v>
      </c>
      <c r="E39" s="282">
        <v>80056</v>
      </c>
      <c r="F39" s="282">
        <v>80056</v>
      </c>
      <c r="G39" s="282"/>
      <c r="H39" s="282"/>
      <c r="I39" s="282"/>
      <c r="J39" s="282"/>
      <c r="K39" s="715"/>
      <c r="L39" s="282"/>
      <c r="M39" s="715"/>
      <c r="N39" s="282"/>
      <c r="O39" s="282"/>
      <c r="P39" s="282"/>
      <c r="Q39" s="282"/>
      <c r="R39" s="282"/>
      <c r="S39" s="634"/>
      <c r="T39" s="634"/>
      <c r="U39" s="632">
        <f t="shared" si="0"/>
        <v>106367</v>
      </c>
      <c r="V39" s="632">
        <f t="shared" si="1"/>
        <v>80056</v>
      </c>
      <c r="W39" s="308">
        <f t="shared" si="2"/>
        <v>80056</v>
      </c>
      <c r="X39" s="292"/>
      <c r="Y39" s="292"/>
      <c r="Z39" s="292"/>
      <c r="AA39" s="292"/>
      <c r="AB39" s="292"/>
      <c r="AC39" s="292"/>
      <c r="AD39" s="292"/>
      <c r="AE39" s="292"/>
      <c r="AF39" s="292"/>
    </row>
    <row r="40" spans="1:32" s="290" customFormat="1" ht="19.5" customHeight="1">
      <c r="A40" s="609"/>
      <c r="B40" s="292"/>
      <c r="C40" s="51" t="s">
        <v>775</v>
      </c>
      <c r="D40" s="282"/>
      <c r="E40" s="282"/>
      <c r="F40" s="282">
        <v>17725</v>
      </c>
      <c r="G40" s="282"/>
      <c r="H40" s="287">
        <v>102</v>
      </c>
      <c r="I40" s="287">
        <v>102</v>
      </c>
      <c r="J40" s="282"/>
      <c r="K40" s="715"/>
      <c r="L40" s="282"/>
      <c r="M40" s="715"/>
      <c r="N40" s="282"/>
      <c r="O40" s="282"/>
      <c r="P40" s="275">
        <v>17676</v>
      </c>
      <c r="Q40" s="275">
        <v>17676</v>
      </c>
      <c r="R40" s="282"/>
      <c r="S40" s="634"/>
      <c r="T40" s="634"/>
      <c r="U40" s="632">
        <f t="shared" si="0"/>
        <v>0</v>
      </c>
      <c r="V40" s="632">
        <f t="shared" si="1"/>
        <v>17778</v>
      </c>
      <c r="W40" s="308">
        <f t="shared" si="2"/>
        <v>35503</v>
      </c>
      <c r="X40" s="292"/>
      <c r="Y40" s="292"/>
      <c r="Z40" s="292"/>
      <c r="AA40" s="292"/>
      <c r="AB40" s="292"/>
      <c r="AC40" s="292"/>
      <c r="AD40" s="292"/>
      <c r="AE40" s="292"/>
      <c r="AF40" s="292"/>
    </row>
    <row r="41" spans="1:32" s="288" customFormat="1" ht="30.75" customHeight="1">
      <c r="A41" s="608"/>
      <c r="B41" s="285"/>
      <c r="C41" s="300" t="s">
        <v>77</v>
      </c>
      <c r="D41" s="287">
        <v>1507660</v>
      </c>
      <c r="E41" s="287">
        <v>1538241</v>
      </c>
      <c r="F41" s="287">
        <v>1484838</v>
      </c>
      <c r="G41" s="287"/>
      <c r="H41" s="287"/>
      <c r="I41" s="287"/>
      <c r="J41" s="287"/>
      <c r="K41" s="716"/>
      <c r="L41" s="287"/>
      <c r="M41" s="716"/>
      <c r="N41" s="287"/>
      <c r="O41" s="287"/>
      <c r="P41" s="287"/>
      <c r="Q41" s="287"/>
      <c r="R41" s="287"/>
      <c r="S41" s="641"/>
      <c r="T41" s="641"/>
      <c r="U41" s="632">
        <f t="shared" si="0"/>
        <v>1507660</v>
      </c>
      <c r="V41" s="632">
        <f t="shared" si="1"/>
        <v>1538241</v>
      </c>
      <c r="W41" s="308">
        <f t="shared" si="2"/>
        <v>1484838</v>
      </c>
      <c r="X41" s="285"/>
      <c r="Y41" s="285"/>
      <c r="Z41" s="285"/>
      <c r="AA41" s="285"/>
      <c r="AB41" s="285"/>
      <c r="AC41" s="285"/>
      <c r="AD41" s="285"/>
      <c r="AE41" s="285"/>
      <c r="AF41" s="285"/>
    </row>
    <row r="42" spans="1:32" s="288" customFormat="1" ht="18" customHeight="1">
      <c r="A42" s="608"/>
      <c r="B42" s="285"/>
      <c r="C42" s="776" t="s">
        <v>503</v>
      </c>
      <c r="D42" s="777"/>
      <c r="E42" s="777"/>
      <c r="F42" s="777">
        <v>46303</v>
      </c>
      <c r="G42" s="777"/>
      <c r="H42" s="777"/>
      <c r="I42" s="777">
        <v>-91</v>
      </c>
      <c r="J42" s="777"/>
      <c r="K42" s="716"/>
      <c r="L42" s="777">
        <v>-12377</v>
      </c>
      <c r="M42" s="716"/>
      <c r="N42" s="777">
        <v>3807</v>
      </c>
      <c r="O42" s="777"/>
      <c r="P42" s="777"/>
      <c r="Q42" s="777">
        <v>-761</v>
      </c>
      <c r="R42" s="777"/>
      <c r="S42" s="778"/>
      <c r="T42" s="778"/>
      <c r="U42" s="632">
        <f t="shared" si="0"/>
        <v>0</v>
      </c>
      <c r="V42" s="632">
        <f t="shared" si="1"/>
        <v>0</v>
      </c>
      <c r="W42" s="308">
        <f t="shared" si="2"/>
        <v>36881</v>
      </c>
      <c r="X42" s="285"/>
      <c r="Y42" s="285"/>
      <c r="Z42" s="285"/>
      <c r="AA42" s="285"/>
      <c r="AB42" s="285"/>
      <c r="AC42" s="285"/>
      <c r="AD42" s="285"/>
      <c r="AE42" s="285"/>
      <c r="AF42" s="285"/>
    </row>
    <row r="43" spans="1:32" s="266" customFormat="1" ht="19.5" customHeight="1" thickBot="1">
      <c r="A43" s="283"/>
      <c r="B43" s="284"/>
      <c r="C43" s="297" t="s">
        <v>78</v>
      </c>
      <c r="D43" s="298">
        <f>SUM(D6+D7+D8+D10+D14+D15+D16+D17+D18+D19+D20+D22+D21+D26+D34+D37+D40+D41+D42)</f>
        <v>7814353</v>
      </c>
      <c r="E43" s="298">
        <f aca="true" t="shared" si="11" ref="E43:T43">SUM(E6+E7+E8+E10+E14+E15+E16+E17+E18+E19+E20+E22+E21+E26+E34+E37+E40+E41+E42)</f>
        <v>4515585</v>
      </c>
      <c r="F43" s="298">
        <f t="shared" si="11"/>
        <v>4118789</v>
      </c>
      <c r="G43" s="298">
        <f t="shared" si="11"/>
        <v>16726</v>
      </c>
      <c r="H43" s="298">
        <f t="shared" si="11"/>
        <v>19586</v>
      </c>
      <c r="I43" s="298">
        <f t="shared" si="11"/>
        <v>19187</v>
      </c>
      <c r="J43" s="298">
        <f t="shared" si="11"/>
        <v>596726</v>
      </c>
      <c r="K43" s="298">
        <f t="shared" si="11"/>
        <v>130598</v>
      </c>
      <c r="L43" s="298">
        <f t="shared" si="11"/>
        <v>118221</v>
      </c>
      <c r="M43" s="298">
        <f t="shared" si="11"/>
        <v>572313</v>
      </c>
      <c r="N43" s="298">
        <f t="shared" si="11"/>
        <v>529540</v>
      </c>
      <c r="O43" s="298">
        <f t="shared" si="11"/>
        <v>967789</v>
      </c>
      <c r="P43" s="298">
        <f t="shared" si="11"/>
        <v>1061205</v>
      </c>
      <c r="Q43" s="298">
        <f t="shared" si="11"/>
        <v>983369</v>
      </c>
      <c r="R43" s="298">
        <f t="shared" si="11"/>
        <v>150482</v>
      </c>
      <c r="S43" s="298">
        <f t="shared" si="11"/>
        <v>203429</v>
      </c>
      <c r="T43" s="298">
        <f t="shared" si="11"/>
        <v>153415</v>
      </c>
      <c r="U43" s="633">
        <f t="shared" si="0"/>
        <v>9546076</v>
      </c>
      <c r="V43" s="633">
        <f t="shared" si="1"/>
        <v>6502716</v>
      </c>
      <c r="W43" s="309">
        <f t="shared" si="2"/>
        <v>5922521</v>
      </c>
      <c r="X43" s="268"/>
      <c r="Y43" s="268"/>
      <c r="Z43" s="268"/>
      <c r="AA43" s="268"/>
      <c r="AB43" s="268"/>
      <c r="AC43" s="268"/>
      <c r="AD43" s="268"/>
      <c r="AE43" s="268"/>
      <c r="AF43" s="268"/>
    </row>
    <row r="44" s="10" customFormat="1" ht="25.5" customHeight="1"/>
    <row r="45" s="10" customFormat="1" ht="25.5" customHeight="1"/>
    <row r="46" spans="3:32" ht="25.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3:32" ht="25.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3:32" ht="25.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3:32" ht="25.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3:32" ht="25.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3:32" ht="25.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3:32" ht="25.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3:32" ht="25.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3:32" ht="25.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3:32" ht="25.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3:32" ht="25.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3:32" ht="25.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3:32" ht="25.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3:32" ht="25.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3:32" ht="25.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3:32" ht="25.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3:32" ht="25.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3:32" ht="25.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3:32" ht="25.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3:32" ht="25.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3:32" ht="25.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3:32" ht="25.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3:32" ht="25.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3:32" ht="25.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3:20" ht="25.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3:20" ht="25.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3:20" ht="25.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3:20" ht="25.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3:20" ht="25.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3:20" ht="25.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3:20" ht="25.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3:20" ht="25.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3:20" ht="25.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3:20" ht="25.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3:20" ht="25.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3:20" ht="25.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3:20" ht="25.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3:20" ht="25.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3:20" ht="25.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3:20" ht="25.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3:20" ht="25.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3:20" ht="25.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3:20" ht="25.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3:20" ht="25.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3:20" ht="25.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3:20" ht="25.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3:20" ht="25.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3:20" ht="25.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3:20" ht="25.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3:20" ht="25.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3:20" ht="25.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3:20" ht="25.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3:20" ht="25.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3:20" ht="25.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3:20" ht="25.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3:20" ht="25.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3:20" ht="25.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3:20" ht="25.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3:20" ht="25.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3:20" ht="25.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3:20" ht="25.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3:20" ht="25.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3:20" ht="25.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3:20" ht="25.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3:20" ht="25.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3:20" ht="25.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3:20" ht="25.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3:20" ht="25.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3:20" ht="25.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3:20" ht="25.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3:20" ht="25.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3:20" ht="25.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3:20" ht="25.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3:20" ht="25.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3:20" ht="25.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3:20" ht="25.5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3:20" ht="25.5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3:20" ht="25.5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3:20" ht="25.5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3:20" ht="25.5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3:20" ht="25.5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3:20" ht="25.5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3:20" ht="25.5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3:20" ht="25.5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3:20" ht="25.5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3:20" ht="25.5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3:20" ht="25.5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3:20" ht="25.5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3:20" ht="25.5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3:20" ht="25.5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3:20" ht="25.5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3:20" ht="25.5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3:20" ht="25.5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3:20" ht="25.5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3:20" ht="25.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3:20" ht="25.5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3:20" ht="25.5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3:20" ht="25.5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3:20" ht="25.5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3:20" ht="25.5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3:20" ht="25.5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3:20" ht="25.5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3:20" ht="25.5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3:20" ht="25.5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3:20" ht="25.5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3:20" ht="25.5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3:20" ht="25.5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3:20" ht="25.5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3:20" ht="25.5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3:20" ht="25.5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3:20" ht="25.5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3:20" ht="25.5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3:20" ht="25.5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3:20" ht="25.5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3:20" ht="25.5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3:20" ht="25.5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3:20" ht="25.5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3:20" ht="25.5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3:20" ht="25.5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3:20" ht="25.5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3:20" ht="25.5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3:20" ht="25.5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3:20" ht="25.5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3:20" ht="25.5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3:20" ht="25.5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3:20" ht="25.5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3:20" ht="25.5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3:20" ht="25.5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3:20" ht="25.5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3:20" ht="25.5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3:20" ht="25.5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3:20" ht="25.5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3:20" ht="25.5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3:20" ht="25.5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3:20" ht="25.5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3:20" ht="25.5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3:20" ht="25.5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3:20" ht="25.5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3:20" ht="25.5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3:20" ht="25.5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3:20" ht="25.5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3:20" ht="25.5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3:20" ht="25.5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3:20" ht="25.5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3:20" ht="25.5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3:20" ht="25.5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3:20" ht="25.5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3:20" ht="25.5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3:20" ht="25.5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3:20" ht="25.5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3:20" ht="25.5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3:20" ht="25.5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3:20" ht="25.5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3:20" ht="25.5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3:20" ht="25.5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3:20" ht="25.5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3:20" ht="25.5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3:20" ht="25.5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3:20" ht="25.5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3:20" ht="25.5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3:20" ht="25.5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3:20" ht="25.5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3:20" ht="25.5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3:20" ht="25.5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3:20" ht="25.5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3:20" ht="25.5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3:20" ht="25.5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3:20" ht="25.5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3:20" ht="25.5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3:20" ht="25.5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3:20" ht="25.5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3:20" ht="25.5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3:20" ht="25.5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3:20" ht="25.5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3:20" ht="25.5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3:20" ht="25.5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3:20" ht="25.5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3:20" ht="25.5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3:20" ht="25.5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3:20" ht="25.5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3:20" ht="25.5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3:20" ht="25.5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3:20" ht="25.5" customHeight="1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3:20" ht="25.5" customHeight="1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3:20" ht="25.5" customHeight="1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3:20" ht="25.5" customHeight="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3:20" ht="25.5" customHeight="1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3:20" ht="25.5" customHeight="1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3:20" ht="25.5" customHeight="1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3:20" ht="25.5" customHeight="1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3:20" ht="25.5" customHeight="1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3:20" ht="25.5" customHeight="1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3:20" ht="25.5" customHeight="1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3:20" ht="25.5" customHeight="1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3:20" ht="25.5" customHeight="1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3:20" ht="25.5" customHeight="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3:20" ht="25.5" customHeight="1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3:20" ht="25.5" customHeight="1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3:20" ht="25.5" customHeight="1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3:20" ht="25.5" customHeight="1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3:20" ht="25.5" customHeight="1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3:20" ht="25.5" customHeight="1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3:20" ht="25.5" customHeight="1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3:20" ht="25.5" customHeight="1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3:20" ht="25.5" customHeight="1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3:20" ht="25.5" customHeight="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3:20" ht="25.5" customHeight="1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3:20" ht="25.5" customHeight="1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3:20" ht="25.5" customHeight="1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3:20" ht="25.5" customHeight="1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3:20" ht="25.5" customHeight="1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3:20" ht="25.5" customHeight="1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3:20" ht="25.5" customHeight="1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3:20" ht="25.5" customHeight="1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3:20" ht="25.5" customHeight="1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3:20" ht="25.5" customHeight="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3:20" ht="25.5" customHeight="1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3:20" ht="25.5" customHeight="1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3:20" ht="25.5" customHeight="1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3:20" ht="25.5" customHeight="1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3:20" ht="25.5" customHeight="1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3:20" ht="25.5" customHeight="1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3:20" ht="25.5" customHeight="1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3:20" ht="25.5" customHeight="1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3:20" ht="25.5" customHeight="1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3:20" ht="25.5" customHeight="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3:20" ht="25.5" customHeight="1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3:20" ht="25.5" customHeight="1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3:20" ht="25.5" customHeight="1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</sheetData>
  <sheetProtection/>
  <mergeCells count="9">
    <mergeCell ref="C2:U2"/>
    <mergeCell ref="C1:V1"/>
    <mergeCell ref="R4:T4"/>
    <mergeCell ref="U4:W4"/>
    <mergeCell ref="D4:F4"/>
    <mergeCell ref="G4:I4"/>
    <mergeCell ref="J4:L4"/>
    <mergeCell ref="O4:Q4"/>
    <mergeCell ref="M4:N4"/>
  </mergeCells>
  <printOptions horizontalCentered="1"/>
  <pageMargins left="0.2" right="0" top="0.8661417322834646" bottom="0.35433070866141736" header="0.6299212598425197" footer="0.2362204724409449"/>
  <pageSetup horizontalDpi="600" verticalDpi="600" orientation="landscape" paperSize="9" scale="45" r:id="rId1"/>
  <headerFooter alignWithMargins="0">
    <oddHeader>&amp;L&amp;11 4. melléklet a 8/2014.(V.5.)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06"/>
  <sheetViews>
    <sheetView view="pageLayout" zoomScaleSheetLayoutView="100" workbookViewId="0" topLeftCell="A1">
      <selection activeCell="C2" sqref="C2"/>
    </sheetView>
  </sheetViews>
  <sheetFormatPr defaultColWidth="9.00390625" defaultRowHeight="12.75"/>
  <cols>
    <col min="1" max="1" width="12.75390625" style="209" customWidth="1"/>
    <col min="2" max="2" width="9.125" style="210" customWidth="1"/>
    <col min="3" max="3" width="61.25390625" style="209" customWidth="1"/>
    <col min="4" max="4" width="11.25390625" style="211" customWidth="1"/>
    <col min="5" max="5" width="9.125" style="212" customWidth="1"/>
    <col min="6" max="13" width="9.125" style="209" customWidth="1"/>
    <col min="14" max="14" width="9.125" style="214" customWidth="1"/>
    <col min="15" max="15" width="10.125" style="209" customWidth="1"/>
    <col min="16" max="16" width="12.375" style="209" customWidth="1"/>
    <col min="17" max="16384" width="9.125" style="209" customWidth="1"/>
  </cols>
  <sheetData>
    <row r="1" spans="2:27" ht="12.75">
      <c r="B1" s="1373"/>
      <c r="C1" s="1374"/>
      <c r="Q1"/>
      <c r="R1"/>
      <c r="S1"/>
      <c r="T1"/>
      <c r="U1"/>
      <c r="V1"/>
      <c r="W1"/>
      <c r="X1"/>
      <c r="Y1"/>
      <c r="Z1"/>
      <c r="AA1"/>
    </row>
    <row r="2" spans="17:27" ht="12.75">
      <c r="Q2"/>
      <c r="R2"/>
      <c r="S2"/>
      <c r="T2"/>
      <c r="U2"/>
      <c r="V2"/>
      <c r="W2"/>
      <c r="X2"/>
      <c r="Y2"/>
      <c r="Z2"/>
      <c r="AA2"/>
    </row>
    <row r="3" spans="2:27" ht="14.25">
      <c r="B3" s="1375" t="s">
        <v>1250</v>
      </c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Q3"/>
      <c r="R3"/>
      <c r="S3"/>
      <c r="T3"/>
      <c r="U3"/>
      <c r="V3"/>
      <c r="W3"/>
      <c r="X3"/>
      <c r="Y3"/>
      <c r="Z3"/>
      <c r="AA3"/>
    </row>
    <row r="4" spans="2:27" ht="15">
      <c r="B4" s="1376"/>
      <c r="C4" s="1376"/>
      <c r="D4" s="1376"/>
      <c r="E4" s="1376"/>
      <c r="F4" s="1376"/>
      <c r="G4" s="1376"/>
      <c r="H4" s="1376"/>
      <c r="I4" s="1376"/>
      <c r="J4" s="1376"/>
      <c r="K4" s="1376"/>
      <c r="L4" s="1376"/>
      <c r="M4" s="1376"/>
      <c r="N4" s="1376"/>
      <c r="O4" s="1376"/>
      <c r="Q4"/>
      <c r="R4"/>
      <c r="S4"/>
      <c r="T4"/>
      <c r="U4"/>
      <c r="V4"/>
      <c r="W4"/>
      <c r="X4"/>
      <c r="Y4"/>
      <c r="Z4"/>
      <c r="AA4"/>
    </row>
    <row r="5" spans="13:27" ht="13.5" thickBot="1">
      <c r="M5" s="212"/>
      <c r="N5" s="215"/>
      <c r="O5" s="215"/>
      <c r="P5" s="215"/>
      <c r="Q5"/>
      <c r="R5"/>
      <c r="S5"/>
      <c r="T5"/>
      <c r="U5"/>
      <c r="V5"/>
      <c r="W5"/>
      <c r="X5"/>
      <c r="Y5"/>
      <c r="Z5"/>
      <c r="AA5"/>
    </row>
    <row r="6" spans="1:27" ht="12.75">
      <c r="A6" s="1368"/>
      <c r="B6" s="1377" t="s">
        <v>216</v>
      </c>
      <c r="C6" s="1377"/>
      <c r="D6" s="1377"/>
      <c r="E6" s="1378" t="s">
        <v>533</v>
      </c>
      <c r="F6" s="1377" t="s">
        <v>534</v>
      </c>
      <c r="G6" s="1367" t="s">
        <v>177</v>
      </c>
      <c r="H6" s="1367"/>
      <c r="I6" s="1367"/>
      <c r="J6" s="1367"/>
      <c r="K6" s="1367"/>
      <c r="L6" s="1367" t="s">
        <v>178</v>
      </c>
      <c r="M6" s="1367"/>
      <c r="N6" s="1364" t="s">
        <v>535</v>
      </c>
      <c r="O6" s="1359" t="s">
        <v>536</v>
      </c>
      <c r="P6" s="1356" t="s">
        <v>653</v>
      </c>
      <c r="Q6"/>
      <c r="R6"/>
      <c r="S6"/>
      <c r="T6"/>
      <c r="U6"/>
      <c r="V6"/>
      <c r="W6"/>
      <c r="X6"/>
      <c r="Y6"/>
      <c r="Z6"/>
      <c r="AA6"/>
    </row>
    <row r="7" spans="1:27" ht="12.75">
      <c r="A7" s="1369"/>
      <c r="B7" s="1362"/>
      <c r="C7" s="1362"/>
      <c r="D7" s="1362"/>
      <c r="E7" s="1379"/>
      <c r="F7" s="1362"/>
      <c r="G7" s="1365" t="s">
        <v>537</v>
      </c>
      <c r="H7" s="1365" t="s">
        <v>538</v>
      </c>
      <c r="I7" s="1365" t="s">
        <v>539</v>
      </c>
      <c r="J7" s="1365" t="s">
        <v>540</v>
      </c>
      <c r="K7" s="1365" t="s">
        <v>541</v>
      </c>
      <c r="L7" s="1362" t="s">
        <v>145</v>
      </c>
      <c r="M7" s="1362" t="s">
        <v>143</v>
      </c>
      <c r="N7" s="1365"/>
      <c r="O7" s="1360"/>
      <c r="P7" s="1357"/>
      <c r="Q7"/>
      <c r="R7"/>
      <c r="S7"/>
      <c r="T7"/>
      <c r="U7"/>
      <c r="V7"/>
      <c r="W7"/>
      <c r="X7"/>
      <c r="Y7"/>
      <c r="Z7"/>
      <c r="AA7"/>
    </row>
    <row r="8" spans="1:27" ht="27" customHeight="1" thickBot="1">
      <c r="A8" s="1370"/>
      <c r="B8" s="1363"/>
      <c r="C8" s="1363"/>
      <c r="D8" s="1363"/>
      <c r="E8" s="1380"/>
      <c r="F8" s="1363"/>
      <c r="G8" s="1366"/>
      <c r="H8" s="1366"/>
      <c r="I8" s="1366"/>
      <c r="J8" s="1366"/>
      <c r="K8" s="1366"/>
      <c r="L8" s="1363"/>
      <c r="M8" s="1363"/>
      <c r="N8" s="1366"/>
      <c r="O8" s="1361"/>
      <c r="P8" s="1358"/>
      <c r="Q8"/>
      <c r="R8"/>
      <c r="S8"/>
      <c r="T8"/>
      <c r="U8"/>
      <c r="V8"/>
      <c r="W8"/>
      <c r="X8"/>
      <c r="Y8"/>
      <c r="Z8"/>
      <c r="AA8"/>
    </row>
    <row r="9" spans="1:27" ht="12.75">
      <c r="A9" s="717" t="s">
        <v>542</v>
      </c>
      <c r="B9" s="748" t="s">
        <v>654</v>
      </c>
      <c r="C9" s="749" t="s">
        <v>655</v>
      </c>
      <c r="D9" s="750" t="s">
        <v>874</v>
      </c>
      <c r="E9" s="718"/>
      <c r="F9" s="718">
        <f>SUM(G9:P9)</f>
        <v>10900</v>
      </c>
      <c r="G9" s="719"/>
      <c r="H9" s="719"/>
      <c r="I9" s="719">
        <v>10900</v>
      </c>
      <c r="J9" s="719"/>
      <c r="K9" s="719"/>
      <c r="L9" s="719"/>
      <c r="M9" s="719"/>
      <c r="N9" s="719"/>
      <c r="O9" s="719"/>
      <c r="P9" s="751"/>
      <c r="Q9"/>
      <c r="R9"/>
      <c r="S9"/>
      <c r="T9"/>
      <c r="U9"/>
      <c r="V9"/>
      <c r="W9"/>
      <c r="X9"/>
      <c r="Y9"/>
      <c r="Z9"/>
      <c r="AA9"/>
    </row>
    <row r="10" spans="1:27" ht="12.75">
      <c r="A10" s="222"/>
      <c r="B10" s="537"/>
      <c r="C10" s="421"/>
      <c r="D10" s="726" t="s">
        <v>33</v>
      </c>
      <c r="E10" s="223"/>
      <c r="F10" s="223">
        <f aca="true" t="shared" si="0" ref="F10:F105">SUM(G10:P10)</f>
        <v>13850</v>
      </c>
      <c r="G10" s="224"/>
      <c r="H10" s="224"/>
      <c r="I10" s="224">
        <v>13850</v>
      </c>
      <c r="J10" s="224"/>
      <c r="K10" s="224"/>
      <c r="L10" s="224"/>
      <c r="M10" s="224"/>
      <c r="N10" s="224"/>
      <c r="O10" s="224"/>
      <c r="P10" s="727"/>
      <c r="Q10"/>
      <c r="R10"/>
      <c r="S10"/>
      <c r="T10"/>
      <c r="U10"/>
      <c r="V10"/>
      <c r="W10"/>
      <c r="X10"/>
      <c r="Y10"/>
      <c r="Z10"/>
      <c r="AA10"/>
    </row>
    <row r="11" spans="1:27" ht="12.75">
      <c r="A11" s="222"/>
      <c r="B11" s="537"/>
      <c r="C11" s="421"/>
      <c r="D11" s="726" t="s">
        <v>321</v>
      </c>
      <c r="E11" s="223"/>
      <c r="F11" s="223">
        <f t="shared" si="0"/>
        <v>13820</v>
      </c>
      <c r="G11" s="224"/>
      <c r="H11" s="224"/>
      <c r="I11" s="224">
        <v>13820</v>
      </c>
      <c r="J11" s="224"/>
      <c r="K11" s="224"/>
      <c r="L11" s="224"/>
      <c r="M11" s="224"/>
      <c r="N11" s="224"/>
      <c r="O11" s="224"/>
      <c r="P11" s="727"/>
      <c r="Q11"/>
      <c r="R11"/>
      <c r="S11"/>
      <c r="T11"/>
      <c r="U11"/>
      <c r="V11"/>
      <c r="W11"/>
      <c r="X11"/>
      <c r="Y11"/>
      <c r="Z11"/>
      <c r="AA11"/>
    </row>
    <row r="12" spans="1:27" ht="12.75">
      <c r="A12" s="222" t="s">
        <v>542</v>
      </c>
      <c r="B12" s="303">
        <v>360000</v>
      </c>
      <c r="C12" s="675" t="s">
        <v>656</v>
      </c>
      <c r="D12" s="726" t="s">
        <v>874</v>
      </c>
      <c r="E12" s="223"/>
      <c r="F12" s="223">
        <f t="shared" si="0"/>
        <v>600</v>
      </c>
      <c r="G12" s="224"/>
      <c r="H12" s="224"/>
      <c r="I12" s="224">
        <v>600</v>
      </c>
      <c r="J12" s="224"/>
      <c r="K12" s="224"/>
      <c r="L12" s="224"/>
      <c r="M12" s="224"/>
      <c r="N12" s="224"/>
      <c r="O12" s="224"/>
      <c r="P12" s="727"/>
      <c r="Q12"/>
      <c r="R12"/>
      <c r="S12"/>
      <c r="T12"/>
      <c r="U12"/>
      <c r="V12"/>
      <c r="W12"/>
      <c r="X12"/>
      <c r="Y12"/>
      <c r="Z12"/>
      <c r="AA12"/>
    </row>
    <row r="13" spans="1:27" ht="12.75">
      <c r="A13" s="222"/>
      <c r="B13" s="303"/>
      <c r="C13" s="675"/>
      <c r="D13" s="726" t="s">
        <v>33</v>
      </c>
      <c r="E13" s="223"/>
      <c r="F13" s="223">
        <f t="shared" si="0"/>
        <v>710</v>
      </c>
      <c r="G13" s="224"/>
      <c r="H13" s="224"/>
      <c r="I13" s="224">
        <v>710</v>
      </c>
      <c r="J13" s="224"/>
      <c r="K13" s="224"/>
      <c r="L13" s="224"/>
      <c r="M13" s="224"/>
      <c r="N13" s="224"/>
      <c r="O13" s="224"/>
      <c r="P13" s="727"/>
      <c r="Q13"/>
      <c r="R13"/>
      <c r="S13"/>
      <c r="T13"/>
      <c r="U13"/>
      <c r="V13"/>
      <c r="W13"/>
      <c r="X13"/>
      <c r="Y13"/>
      <c r="Z13"/>
      <c r="AA13"/>
    </row>
    <row r="14" spans="1:27" ht="12.75">
      <c r="A14" s="222"/>
      <c r="B14" s="303"/>
      <c r="C14" s="675"/>
      <c r="D14" s="726" t="s">
        <v>321</v>
      </c>
      <c r="E14" s="223">
        <v>395</v>
      </c>
      <c r="F14" s="223">
        <f t="shared" si="0"/>
        <v>709</v>
      </c>
      <c r="G14" s="224"/>
      <c r="H14" s="224"/>
      <c r="I14" s="224">
        <v>709</v>
      </c>
      <c r="J14" s="224"/>
      <c r="K14" s="224"/>
      <c r="L14" s="224"/>
      <c r="M14" s="224"/>
      <c r="N14" s="224"/>
      <c r="O14" s="224"/>
      <c r="P14" s="727"/>
      <c r="Q14"/>
      <c r="R14"/>
      <c r="S14"/>
      <c r="T14"/>
      <c r="U14"/>
      <c r="V14"/>
      <c r="W14"/>
      <c r="X14"/>
      <c r="Y14"/>
      <c r="Z14"/>
      <c r="AA14"/>
    </row>
    <row r="15" spans="1:27" ht="12.75">
      <c r="A15" s="222" t="s">
        <v>542</v>
      </c>
      <c r="B15" s="303">
        <v>370000</v>
      </c>
      <c r="C15" s="421" t="s">
        <v>657</v>
      </c>
      <c r="D15" s="726" t="s">
        <v>874</v>
      </c>
      <c r="E15" s="223">
        <v>9040</v>
      </c>
      <c r="F15" s="223">
        <f t="shared" si="0"/>
        <v>55700</v>
      </c>
      <c r="G15" s="224"/>
      <c r="H15" s="224"/>
      <c r="I15" s="224">
        <v>19910</v>
      </c>
      <c r="J15" s="224"/>
      <c r="K15" s="224"/>
      <c r="L15" s="224">
        <v>8990</v>
      </c>
      <c r="M15" s="224">
        <v>17048</v>
      </c>
      <c r="N15" s="224"/>
      <c r="O15" s="224">
        <v>9752</v>
      </c>
      <c r="P15" s="727"/>
      <c r="Q15"/>
      <c r="R15"/>
      <c r="S15"/>
      <c r="T15"/>
      <c r="U15"/>
      <c r="V15"/>
      <c r="W15"/>
      <c r="X15"/>
      <c r="Y15"/>
      <c r="Z15"/>
      <c r="AA15"/>
    </row>
    <row r="16" spans="1:27" ht="12.75">
      <c r="A16" s="222"/>
      <c r="B16" s="303"/>
      <c r="C16" s="421"/>
      <c r="D16" s="726" t="s">
        <v>33</v>
      </c>
      <c r="E16" s="223">
        <v>11482</v>
      </c>
      <c r="F16" s="223">
        <f t="shared" si="0"/>
        <v>104944</v>
      </c>
      <c r="G16" s="224"/>
      <c r="H16" s="224"/>
      <c r="I16" s="224">
        <v>21619</v>
      </c>
      <c r="J16" s="224">
        <v>21</v>
      </c>
      <c r="K16" s="224"/>
      <c r="L16" s="224">
        <v>9702</v>
      </c>
      <c r="M16" s="224">
        <v>73602</v>
      </c>
      <c r="N16" s="224"/>
      <c r="O16" s="224"/>
      <c r="P16" s="727"/>
      <c r="Q16" s="229"/>
      <c r="R16" s="229"/>
      <c r="S16" s="229"/>
      <c r="T16" s="229"/>
      <c r="U16" s="229"/>
      <c r="V16" s="229"/>
      <c r="W16"/>
      <c r="X16"/>
      <c r="Y16"/>
      <c r="Z16"/>
      <c r="AA16"/>
    </row>
    <row r="17" spans="1:27" ht="12.75">
      <c r="A17" s="222"/>
      <c r="B17" s="303"/>
      <c r="C17" s="421"/>
      <c r="D17" s="726" t="s">
        <v>321</v>
      </c>
      <c r="E17" s="223">
        <v>11724</v>
      </c>
      <c r="F17" s="223">
        <f t="shared" si="0"/>
        <v>91958</v>
      </c>
      <c r="G17" s="224"/>
      <c r="H17" s="224"/>
      <c r="I17" s="224">
        <v>16297</v>
      </c>
      <c r="J17" s="224">
        <v>21</v>
      </c>
      <c r="K17" s="224"/>
      <c r="L17" s="224">
        <v>9436</v>
      </c>
      <c r="M17" s="224">
        <v>66204</v>
      </c>
      <c r="N17" s="224"/>
      <c r="O17" s="224"/>
      <c r="P17" s="727"/>
      <c r="Q17" s="229"/>
      <c r="R17" s="229"/>
      <c r="S17" s="229"/>
      <c r="T17" s="229"/>
      <c r="U17" s="229"/>
      <c r="V17" s="229"/>
      <c r="W17"/>
      <c r="X17"/>
      <c r="Y17"/>
      <c r="Z17"/>
      <c r="AA17"/>
    </row>
    <row r="18" spans="1:27" ht="12.75">
      <c r="A18" s="222" t="s">
        <v>542</v>
      </c>
      <c r="B18" s="303">
        <v>381103</v>
      </c>
      <c r="C18" s="421" t="s">
        <v>658</v>
      </c>
      <c r="D18" s="726" t="s">
        <v>874</v>
      </c>
      <c r="E18" s="223"/>
      <c r="F18" s="223">
        <f t="shared" si="0"/>
        <v>25400</v>
      </c>
      <c r="G18" s="224"/>
      <c r="H18" s="224"/>
      <c r="I18" s="224">
        <v>25400</v>
      </c>
      <c r="J18" s="224"/>
      <c r="K18" s="224"/>
      <c r="L18" s="224"/>
      <c r="M18" s="224"/>
      <c r="N18" s="224"/>
      <c r="O18" s="224"/>
      <c r="P18" s="727"/>
      <c r="Q18" s="229"/>
      <c r="R18" s="229"/>
      <c r="S18" s="229"/>
      <c r="T18" s="229"/>
      <c r="U18" s="229"/>
      <c r="V18" s="229"/>
      <c r="W18"/>
      <c r="X18"/>
      <c r="Y18"/>
      <c r="Z18"/>
      <c r="AA18"/>
    </row>
    <row r="19" spans="1:27" ht="12.75">
      <c r="A19" s="222"/>
      <c r="B19" s="303"/>
      <c r="C19" s="421"/>
      <c r="D19" s="726" t="s">
        <v>33</v>
      </c>
      <c r="E19" s="223"/>
      <c r="F19" s="223">
        <f t="shared" si="0"/>
        <v>34400</v>
      </c>
      <c r="G19" s="224"/>
      <c r="H19" s="224"/>
      <c r="I19" s="224">
        <v>34400</v>
      </c>
      <c r="J19" s="224"/>
      <c r="K19" s="224"/>
      <c r="L19" s="224"/>
      <c r="M19" s="224"/>
      <c r="N19" s="224"/>
      <c r="O19" s="224"/>
      <c r="P19" s="727"/>
      <c r="Q19" s="229"/>
      <c r="R19" s="229"/>
      <c r="S19" s="229"/>
      <c r="T19" s="229"/>
      <c r="U19" s="229"/>
      <c r="V19" s="229"/>
      <c r="W19"/>
      <c r="X19"/>
      <c r="Y19"/>
      <c r="Z19"/>
      <c r="AA19"/>
    </row>
    <row r="20" spans="1:27" ht="12.75">
      <c r="A20" s="222"/>
      <c r="B20" s="303"/>
      <c r="C20" s="421"/>
      <c r="D20" s="726" t="s">
        <v>321</v>
      </c>
      <c r="E20" s="223"/>
      <c r="F20" s="223">
        <f t="shared" si="0"/>
        <v>33279</v>
      </c>
      <c r="G20" s="224"/>
      <c r="H20" s="224"/>
      <c r="I20" s="224">
        <v>33279</v>
      </c>
      <c r="J20" s="224"/>
      <c r="K20" s="224"/>
      <c r="L20" s="224"/>
      <c r="M20" s="224"/>
      <c r="N20" s="224"/>
      <c r="O20" s="224"/>
      <c r="P20" s="727"/>
      <c r="Q20" s="229"/>
      <c r="R20" s="229"/>
      <c r="S20" s="229"/>
      <c r="T20" s="229"/>
      <c r="U20" s="229"/>
      <c r="V20" s="229"/>
      <c r="W20"/>
      <c r="X20"/>
      <c r="Y20"/>
      <c r="Z20"/>
      <c r="AA20"/>
    </row>
    <row r="21" spans="1:27" ht="12.75">
      <c r="A21" s="222" t="s">
        <v>543</v>
      </c>
      <c r="B21" s="303">
        <v>412000</v>
      </c>
      <c r="C21" s="421" t="s">
        <v>659</v>
      </c>
      <c r="D21" s="726" t="s">
        <v>874</v>
      </c>
      <c r="E21" s="223">
        <v>2310431</v>
      </c>
      <c r="F21" s="223">
        <f t="shared" si="0"/>
        <v>3208747</v>
      </c>
      <c r="G21" s="224"/>
      <c r="H21" s="224"/>
      <c r="I21" s="224">
        <v>3086</v>
      </c>
      <c r="J21" s="224">
        <v>52606</v>
      </c>
      <c r="K21" s="224"/>
      <c r="L21" s="224">
        <v>69124</v>
      </c>
      <c r="M21" s="224">
        <v>1439717</v>
      </c>
      <c r="N21" s="224"/>
      <c r="O21" s="224">
        <v>1644214</v>
      </c>
      <c r="P21" s="727"/>
      <c r="Q21" s="229"/>
      <c r="R21" s="229"/>
      <c r="S21" s="229"/>
      <c r="T21" s="229"/>
      <c r="U21" s="229"/>
      <c r="V21" s="229"/>
      <c r="W21"/>
      <c r="X21"/>
      <c r="Y21"/>
      <c r="Z21"/>
      <c r="AA21"/>
    </row>
    <row r="22" spans="1:27" ht="12.75">
      <c r="A22" s="222"/>
      <c r="B22" s="303"/>
      <c r="C22" s="421"/>
      <c r="D22" s="726" t="s">
        <v>33</v>
      </c>
      <c r="E22" s="223">
        <v>119605</v>
      </c>
      <c r="F22" s="223">
        <f t="shared" si="0"/>
        <v>272121</v>
      </c>
      <c r="G22" s="224">
        <v>1153</v>
      </c>
      <c r="H22" s="224">
        <v>279</v>
      </c>
      <c r="I22" s="224">
        <v>4776</v>
      </c>
      <c r="J22" s="224">
        <v>58050</v>
      </c>
      <c r="K22" s="224"/>
      <c r="L22" s="224">
        <v>86439</v>
      </c>
      <c r="M22" s="224">
        <v>121424</v>
      </c>
      <c r="N22" s="224"/>
      <c r="O22" s="224"/>
      <c r="P22" s="727"/>
      <c r="Q22" s="229"/>
      <c r="R22" s="229"/>
      <c r="S22" s="229"/>
      <c r="T22" s="229"/>
      <c r="U22" s="229"/>
      <c r="V22" s="229"/>
      <c r="W22"/>
      <c r="X22"/>
      <c r="Y22"/>
      <c r="Z22"/>
      <c r="AA22"/>
    </row>
    <row r="23" spans="1:27" ht="12.75">
      <c r="A23" s="222"/>
      <c r="B23" s="303"/>
      <c r="C23" s="421"/>
      <c r="D23" s="726" t="s">
        <v>321</v>
      </c>
      <c r="E23" s="223">
        <v>73658</v>
      </c>
      <c r="F23" s="223">
        <f t="shared" si="0"/>
        <v>165016</v>
      </c>
      <c r="G23" s="224">
        <v>168</v>
      </c>
      <c r="H23" s="224">
        <v>41</v>
      </c>
      <c r="I23" s="224">
        <v>4771</v>
      </c>
      <c r="J23" s="224">
        <v>5944</v>
      </c>
      <c r="K23" s="224"/>
      <c r="L23" s="224">
        <v>38793</v>
      </c>
      <c r="M23" s="224">
        <v>115299</v>
      </c>
      <c r="N23" s="224"/>
      <c r="O23" s="224"/>
      <c r="P23" s="727"/>
      <c r="Q23" s="229"/>
      <c r="R23" s="229"/>
      <c r="S23" s="229"/>
      <c r="T23" s="229"/>
      <c r="U23" s="229"/>
      <c r="V23" s="229"/>
      <c r="W23"/>
      <c r="X23"/>
      <c r="Y23"/>
      <c r="Z23"/>
      <c r="AA23"/>
    </row>
    <row r="24" spans="1:27" ht="12.75">
      <c r="A24" s="222" t="s">
        <v>542</v>
      </c>
      <c r="B24" s="303">
        <v>421100</v>
      </c>
      <c r="C24" s="421" t="s">
        <v>660</v>
      </c>
      <c r="D24" s="726" t="s">
        <v>874</v>
      </c>
      <c r="E24" s="223">
        <v>674640</v>
      </c>
      <c r="F24" s="223">
        <f t="shared" si="0"/>
        <v>899784</v>
      </c>
      <c r="G24" s="224"/>
      <c r="H24" s="224"/>
      <c r="I24" s="224">
        <v>1831</v>
      </c>
      <c r="J24" s="224">
        <v>3975</v>
      </c>
      <c r="K24" s="224"/>
      <c r="L24" s="224">
        <v>25000</v>
      </c>
      <c r="M24" s="224">
        <v>569976</v>
      </c>
      <c r="N24" s="224"/>
      <c r="O24" s="224">
        <v>299002</v>
      </c>
      <c r="P24" s="727"/>
      <c r="Q24" s="229"/>
      <c r="R24" s="229"/>
      <c r="S24" s="229"/>
      <c r="T24" s="229"/>
      <c r="U24" s="229"/>
      <c r="V24" s="229"/>
      <c r="W24"/>
      <c r="X24"/>
      <c r="Y24"/>
      <c r="Z24"/>
      <c r="AA24"/>
    </row>
    <row r="25" spans="1:27" ht="12.75">
      <c r="A25" s="222"/>
      <c r="B25" s="303"/>
      <c r="C25" s="421"/>
      <c r="D25" s="726" t="s">
        <v>33</v>
      </c>
      <c r="E25" s="223">
        <v>369805</v>
      </c>
      <c r="F25" s="223">
        <f t="shared" si="0"/>
        <v>426053</v>
      </c>
      <c r="G25" s="224">
        <v>5465</v>
      </c>
      <c r="H25" s="224">
        <v>1328</v>
      </c>
      <c r="I25" s="224">
        <v>66143</v>
      </c>
      <c r="J25" s="224">
        <v>3975</v>
      </c>
      <c r="K25" s="224"/>
      <c r="L25" s="224">
        <v>27096</v>
      </c>
      <c r="M25" s="224">
        <v>322046</v>
      </c>
      <c r="N25" s="224"/>
      <c r="O25" s="224"/>
      <c r="P25" s="727"/>
      <c r="Q25" s="229"/>
      <c r="R25" s="229"/>
      <c r="S25" s="229"/>
      <c r="T25" s="229"/>
      <c r="U25" s="229"/>
      <c r="V25" s="229"/>
      <c r="W25"/>
      <c r="X25"/>
      <c r="Y25"/>
      <c r="Z25"/>
      <c r="AA25"/>
    </row>
    <row r="26" spans="1:27" ht="12.75">
      <c r="A26" s="222"/>
      <c r="B26" s="303"/>
      <c r="C26" s="421"/>
      <c r="D26" s="726" t="s">
        <v>321</v>
      </c>
      <c r="E26" s="223">
        <v>369832</v>
      </c>
      <c r="F26" s="223">
        <f t="shared" si="0"/>
        <v>394880</v>
      </c>
      <c r="G26" s="224">
        <v>390</v>
      </c>
      <c r="H26" s="224">
        <v>95</v>
      </c>
      <c r="I26" s="224">
        <v>66127</v>
      </c>
      <c r="J26" s="224">
        <v>1422</v>
      </c>
      <c r="K26" s="224"/>
      <c r="L26" s="224">
        <v>14396</v>
      </c>
      <c r="M26" s="224">
        <v>312450</v>
      </c>
      <c r="N26" s="224"/>
      <c r="O26" s="224"/>
      <c r="P26" s="727"/>
      <c r="Q26" s="229"/>
      <c r="R26" s="229"/>
      <c r="S26" s="229"/>
      <c r="T26" s="229"/>
      <c r="U26" s="229"/>
      <c r="V26" s="229"/>
      <c r="W26"/>
      <c r="X26"/>
      <c r="Y26"/>
      <c r="Z26"/>
      <c r="AA26"/>
    </row>
    <row r="27" spans="1:27" ht="12.75">
      <c r="A27" s="222" t="s">
        <v>542</v>
      </c>
      <c r="B27" s="303">
        <v>493102</v>
      </c>
      <c r="C27" s="421" t="s">
        <v>661</v>
      </c>
      <c r="D27" s="726" t="s">
        <v>874</v>
      </c>
      <c r="E27" s="223"/>
      <c r="F27" s="223">
        <f t="shared" si="0"/>
        <v>21570</v>
      </c>
      <c r="G27" s="224"/>
      <c r="H27" s="224"/>
      <c r="I27" s="224">
        <v>5070</v>
      </c>
      <c r="J27" s="224">
        <v>16500</v>
      </c>
      <c r="K27" s="224"/>
      <c r="L27" s="224"/>
      <c r="M27" s="224"/>
      <c r="N27" s="224"/>
      <c r="O27" s="224"/>
      <c r="P27" s="727"/>
      <c r="Q27" s="229"/>
      <c r="R27" s="229"/>
      <c r="S27" s="229"/>
      <c r="T27" s="229"/>
      <c r="U27" s="229"/>
      <c r="V27" s="229"/>
      <c r="W27"/>
      <c r="X27"/>
      <c r="Y27"/>
      <c r="Z27"/>
      <c r="AA27"/>
    </row>
    <row r="28" spans="1:27" ht="12.75">
      <c r="A28" s="222"/>
      <c r="B28" s="303"/>
      <c r="C28" s="421"/>
      <c r="D28" s="726" t="s">
        <v>33</v>
      </c>
      <c r="E28" s="223">
        <v>5889</v>
      </c>
      <c r="F28" s="223">
        <f t="shared" si="0"/>
        <v>27618</v>
      </c>
      <c r="G28" s="224"/>
      <c r="H28" s="224"/>
      <c r="I28" s="224">
        <v>5070</v>
      </c>
      <c r="J28" s="224">
        <v>22548</v>
      </c>
      <c r="K28" s="224"/>
      <c r="L28" s="224"/>
      <c r="M28" s="224"/>
      <c r="N28" s="224"/>
      <c r="O28" s="224"/>
      <c r="P28" s="727"/>
      <c r="Q28" s="229"/>
      <c r="R28" s="229"/>
      <c r="S28" s="229"/>
      <c r="T28" s="229"/>
      <c r="U28" s="229"/>
      <c r="V28" s="229"/>
      <c r="W28"/>
      <c r="X28"/>
      <c r="Y28"/>
      <c r="Z28"/>
      <c r="AA28"/>
    </row>
    <row r="29" spans="1:27" ht="12.75">
      <c r="A29" s="222"/>
      <c r="B29" s="303"/>
      <c r="C29" s="421"/>
      <c r="D29" s="726" t="s">
        <v>321</v>
      </c>
      <c r="E29" s="223">
        <v>5889</v>
      </c>
      <c r="F29" s="223">
        <f t="shared" si="0"/>
        <v>22946</v>
      </c>
      <c r="G29" s="224"/>
      <c r="H29" s="224"/>
      <c r="I29" s="224">
        <v>4340</v>
      </c>
      <c r="J29" s="224">
        <v>18606</v>
      </c>
      <c r="K29" s="224"/>
      <c r="L29" s="224"/>
      <c r="M29" s="224"/>
      <c r="N29" s="224"/>
      <c r="O29" s="224"/>
      <c r="P29" s="727"/>
      <c r="Q29" s="229"/>
      <c r="R29" s="229"/>
      <c r="S29" s="229"/>
      <c r="T29" s="229"/>
      <c r="U29" s="229"/>
      <c r="V29" s="229"/>
      <c r="W29"/>
      <c r="X29"/>
      <c r="Y29"/>
      <c r="Z29"/>
      <c r="AA29"/>
    </row>
    <row r="30" spans="1:27" ht="12.75">
      <c r="A30" s="222" t="s">
        <v>542</v>
      </c>
      <c r="B30" s="303">
        <v>522001</v>
      </c>
      <c r="C30" s="421" t="s">
        <v>662</v>
      </c>
      <c r="D30" s="726" t="s">
        <v>874</v>
      </c>
      <c r="E30" s="223"/>
      <c r="F30" s="223">
        <f t="shared" si="0"/>
        <v>41800</v>
      </c>
      <c r="G30" s="224"/>
      <c r="H30" s="224"/>
      <c r="I30" s="224">
        <v>41800</v>
      </c>
      <c r="J30" s="224"/>
      <c r="K30" s="223"/>
      <c r="L30" s="223"/>
      <c r="M30" s="224"/>
      <c r="N30" s="224"/>
      <c r="O30" s="224"/>
      <c r="P30" s="727"/>
      <c r="Q30" s="720"/>
      <c r="R30" s="720"/>
      <c r="S30" s="720"/>
      <c r="T30" s="720"/>
      <c r="U30" s="720"/>
      <c r="V30" s="720"/>
      <c r="W30"/>
      <c r="X30"/>
      <c r="Y30"/>
      <c r="Z30"/>
      <c r="AA30"/>
    </row>
    <row r="31" spans="1:27" ht="12.75">
      <c r="A31" s="222"/>
      <c r="B31" s="303"/>
      <c r="C31" s="421"/>
      <c r="D31" s="726" t="s">
        <v>33</v>
      </c>
      <c r="E31" s="223"/>
      <c r="F31" s="223">
        <f t="shared" si="0"/>
        <v>35000</v>
      </c>
      <c r="G31" s="224"/>
      <c r="H31" s="224"/>
      <c r="I31" s="224">
        <v>35000</v>
      </c>
      <c r="J31" s="224"/>
      <c r="K31" s="223"/>
      <c r="L31" s="223"/>
      <c r="M31" s="224"/>
      <c r="N31" s="224"/>
      <c r="O31" s="224"/>
      <c r="P31" s="727"/>
      <c r="Q31" s="720"/>
      <c r="R31" s="720"/>
      <c r="S31" s="720"/>
      <c r="T31" s="720"/>
      <c r="U31" s="720"/>
      <c r="V31" s="720"/>
      <c r="W31"/>
      <c r="X31"/>
      <c r="Y31"/>
      <c r="Z31"/>
      <c r="AA31"/>
    </row>
    <row r="32" spans="1:27" ht="12.75">
      <c r="A32" s="222"/>
      <c r="B32" s="303"/>
      <c r="C32" s="421"/>
      <c r="D32" s="726" t="s">
        <v>321</v>
      </c>
      <c r="E32" s="223"/>
      <c r="F32" s="223">
        <f t="shared" si="0"/>
        <v>34878</v>
      </c>
      <c r="G32" s="224"/>
      <c r="H32" s="224"/>
      <c r="I32" s="224">
        <v>34878</v>
      </c>
      <c r="J32" s="224"/>
      <c r="K32" s="223"/>
      <c r="L32" s="223"/>
      <c r="M32" s="224"/>
      <c r="N32" s="224"/>
      <c r="O32" s="224"/>
      <c r="P32" s="727"/>
      <c r="Q32" s="720"/>
      <c r="R32" s="720"/>
      <c r="S32" s="720"/>
      <c r="T32" s="720"/>
      <c r="U32" s="720"/>
      <c r="V32" s="720"/>
      <c r="W32"/>
      <c r="X32"/>
      <c r="Y32"/>
      <c r="Z32"/>
      <c r="AA32"/>
    </row>
    <row r="33" spans="1:27" ht="12.75">
      <c r="A33" s="222" t="s">
        <v>543</v>
      </c>
      <c r="B33" s="303">
        <v>581100</v>
      </c>
      <c r="C33" s="421" t="s">
        <v>663</v>
      </c>
      <c r="D33" s="726" t="s">
        <v>874</v>
      </c>
      <c r="E33" s="223"/>
      <c r="F33" s="223">
        <f t="shared" si="0"/>
        <v>1800</v>
      </c>
      <c r="G33" s="224"/>
      <c r="H33" s="224"/>
      <c r="I33" s="224">
        <v>1800</v>
      </c>
      <c r="J33" s="224"/>
      <c r="K33" s="223"/>
      <c r="L33" s="721"/>
      <c r="M33" s="224"/>
      <c r="N33" s="224"/>
      <c r="O33" s="224"/>
      <c r="P33" s="727"/>
      <c r="Q33" s="720"/>
      <c r="R33" s="720"/>
      <c r="S33" s="720"/>
      <c r="T33" s="720"/>
      <c r="U33" s="720"/>
      <c r="V33" s="720"/>
      <c r="W33"/>
      <c r="X33"/>
      <c r="Y33"/>
      <c r="Z33"/>
      <c r="AA33"/>
    </row>
    <row r="34" spans="1:27" ht="12.75">
      <c r="A34" s="222"/>
      <c r="B34" s="303"/>
      <c r="C34" s="421"/>
      <c r="D34" s="726" t="s">
        <v>33</v>
      </c>
      <c r="E34" s="223"/>
      <c r="F34" s="223">
        <f t="shared" si="0"/>
        <v>1800</v>
      </c>
      <c r="G34" s="224"/>
      <c r="H34" s="224"/>
      <c r="I34" s="224">
        <v>1800</v>
      </c>
      <c r="J34" s="224"/>
      <c r="K34" s="223"/>
      <c r="L34" s="721"/>
      <c r="M34" s="224"/>
      <c r="N34" s="224"/>
      <c r="O34" s="224"/>
      <c r="P34" s="727"/>
      <c r="Q34" s="720"/>
      <c r="R34" s="720"/>
      <c r="S34" s="720"/>
      <c r="T34" s="720"/>
      <c r="U34" s="720"/>
      <c r="V34" s="720"/>
      <c r="W34"/>
      <c r="X34"/>
      <c r="Y34"/>
      <c r="Z34"/>
      <c r="AA34"/>
    </row>
    <row r="35" spans="1:27" ht="12.75">
      <c r="A35" s="222"/>
      <c r="B35" s="303"/>
      <c r="C35" s="421"/>
      <c r="D35" s="726" t="s">
        <v>321</v>
      </c>
      <c r="E35" s="223">
        <v>34</v>
      </c>
      <c r="F35" s="223">
        <f t="shared" si="0"/>
        <v>218</v>
      </c>
      <c r="G35" s="224"/>
      <c r="H35" s="224"/>
      <c r="I35" s="224">
        <v>218</v>
      </c>
      <c r="J35" s="224"/>
      <c r="K35" s="223"/>
      <c r="L35" s="721"/>
      <c r="M35" s="224"/>
      <c r="N35" s="224"/>
      <c r="O35" s="224"/>
      <c r="P35" s="727"/>
      <c r="Q35" s="720"/>
      <c r="R35" s="720"/>
      <c r="S35" s="720"/>
      <c r="T35" s="720"/>
      <c r="U35" s="720"/>
      <c r="V35" s="720"/>
      <c r="W35"/>
      <c r="X35"/>
      <c r="Y35"/>
      <c r="Z35"/>
      <c r="AA35"/>
    </row>
    <row r="36" spans="1:27" ht="12.75">
      <c r="A36" s="222" t="s">
        <v>543</v>
      </c>
      <c r="B36" s="735">
        <v>581900</v>
      </c>
      <c r="C36" s="736" t="s">
        <v>664</v>
      </c>
      <c r="D36" s="726" t="s">
        <v>874</v>
      </c>
      <c r="E36" s="223"/>
      <c r="F36" s="223">
        <f t="shared" si="0"/>
        <v>35160</v>
      </c>
      <c r="G36" s="226">
        <v>5760</v>
      </c>
      <c r="H36" s="226">
        <v>1400</v>
      </c>
      <c r="I36" s="226">
        <v>28000</v>
      </c>
      <c r="J36" s="226"/>
      <c r="K36" s="226"/>
      <c r="L36" s="226"/>
      <c r="M36" s="226"/>
      <c r="N36" s="226"/>
      <c r="O36" s="226"/>
      <c r="P36" s="727"/>
      <c r="Q36" s="720"/>
      <c r="R36" s="720"/>
      <c r="S36" s="720"/>
      <c r="T36" s="720"/>
      <c r="U36" s="720"/>
      <c r="V36" s="720"/>
      <c r="W36"/>
      <c r="X36"/>
      <c r="Y36"/>
      <c r="Z36"/>
      <c r="AA36"/>
    </row>
    <row r="37" spans="1:27" ht="12.75">
      <c r="A37" s="222"/>
      <c r="B37" s="735"/>
      <c r="C37" s="736"/>
      <c r="D37" s="726" t="s">
        <v>33</v>
      </c>
      <c r="E37" s="223"/>
      <c r="F37" s="223">
        <f t="shared" si="0"/>
        <v>27270</v>
      </c>
      <c r="G37" s="226">
        <v>6700</v>
      </c>
      <c r="H37" s="226">
        <v>1550</v>
      </c>
      <c r="I37" s="226">
        <v>18650</v>
      </c>
      <c r="J37" s="226"/>
      <c r="K37" s="226"/>
      <c r="L37" s="226"/>
      <c r="M37" s="226">
        <v>370</v>
      </c>
      <c r="N37" s="226"/>
      <c r="O37" s="226"/>
      <c r="P37" s="727"/>
      <c r="Q37" s="720"/>
      <c r="R37" s="720"/>
      <c r="S37" s="720"/>
      <c r="T37" s="720"/>
      <c r="U37" s="720"/>
      <c r="V37" s="720"/>
      <c r="W37"/>
      <c r="X37"/>
      <c r="Y37"/>
      <c r="Z37"/>
      <c r="AA37"/>
    </row>
    <row r="38" spans="1:27" ht="12.75">
      <c r="A38" s="222"/>
      <c r="B38" s="735"/>
      <c r="C38" s="736"/>
      <c r="D38" s="726" t="s">
        <v>321</v>
      </c>
      <c r="E38" s="223"/>
      <c r="F38" s="223">
        <f t="shared" si="0"/>
        <v>27301</v>
      </c>
      <c r="G38" s="226">
        <v>6693</v>
      </c>
      <c r="H38" s="226">
        <v>1547</v>
      </c>
      <c r="I38" s="226">
        <v>18691</v>
      </c>
      <c r="J38" s="226"/>
      <c r="K38" s="226"/>
      <c r="L38" s="226"/>
      <c r="M38" s="226">
        <v>370</v>
      </c>
      <c r="N38" s="226"/>
      <c r="O38" s="226"/>
      <c r="P38" s="727"/>
      <c r="Q38" s="720"/>
      <c r="R38" s="720"/>
      <c r="S38" s="720"/>
      <c r="T38" s="720"/>
      <c r="U38" s="720"/>
      <c r="V38" s="720"/>
      <c r="W38"/>
      <c r="X38"/>
      <c r="Y38"/>
      <c r="Z38"/>
      <c r="AA38"/>
    </row>
    <row r="39" spans="1:27" ht="12.75">
      <c r="A39" s="222" t="s">
        <v>542</v>
      </c>
      <c r="B39" s="303">
        <v>680001</v>
      </c>
      <c r="C39" s="421" t="s">
        <v>665</v>
      </c>
      <c r="D39" s="726" t="s">
        <v>874</v>
      </c>
      <c r="E39" s="223">
        <v>47000</v>
      </c>
      <c r="F39" s="223">
        <f t="shared" si="0"/>
        <v>42550</v>
      </c>
      <c r="G39" s="224"/>
      <c r="H39" s="224"/>
      <c r="I39" s="224">
        <v>42550</v>
      </c>
      <c r="J39" s="224"/>
      <c r="K39" s="224"/>
      <c r="L39" s="224"/>
      <c r="M39" s="224"/>
      <c r="N39" s="224"/>
      <c r="O39" s="224"/>
      <c r="P39" s="727"/>
      <c r="Q39" s="720"/>
      <c r="R39" s="720"/>
      <c r="S39" s="720"/>
      <c r="T39" s="720"/>
      <c r="U39" s="720"/>
      <c r="V39" s="720"/>
      <c r="W39"/>
      <c r="X39"/>
      <c r="Y39"/>
      <c r="Z39"/>
      <c r="AA39"/>
    </row>
    <row r="40" spans="1:27" ht="12.75">
      <c r="A40" s="222"/>
      <c r="B40" s="303"/>
      <c r="C40" s="421"/>
      <c r="D40" s="726" t="s">
        <v>33</v>
      </c>
      <c r="E40" s="223">
        <v>55900</v>
      </c>
      <c r="F40" s="223">
        <f t="shared" si="0"/>
        <v>44550</v>
      </c>
      <c r="G40" s="224"/>
      <c r="H40" s="224"/>
      <c r="I40" s="224">
        <v>44550</v>
      </c>
      <c r="J40" s="224"/>
      <c r="K40" s="224"/>
      <c r="L40" s="224"/>
      <c r="M40" s="224"/>
      <c r="N40" s="224"/>
      <c r="O40" s="224"/>
      <c r="P40" s="727"/>
      <c r="Q40" s="720"/>
      <c r="R40" s="720"/>
      <c r="S40" s="720"/>
      <c r="T40" s="720"/>
      <c r="U40" s="720"/>
      <c r="V40" s="720"/>
      <c r="W40"/>
      <c r="X40"/>
      <c r="Y40"/>
      <c r="Z40"/>
      <c r="AA40"/>
    </row>
    <row r="41" spans="1:27" ht="12.75">
      <c r="A41" s="222"/>
      <c r="B41" s="303"/>
      <c r="C41" s="421"/>
      <c r="D41" s="726" t="s">
        <v>321</v>
      </c>
      <c r="E41" s="223">
        <v>56354</v>
      </c>
      <c r="F41" s="223">
        <f t="shared" si="0"/>
        <v>44503</v>
      </c>
      <c r="G41" s="224"/>
      <c r="H41" s="224"/>
      <c r="I41" s="224">
        <v>44503</v>
      </c>
      <c r="J41" s="224"/>
      <c r="K41" s="224"/>
      <c r="L41" s="224"/>
      <c r="M41" s="224"/>
      <c r="N41" s="224"/>
      <c r="O41" s="224"/>
      <c r="P41" s="727"/>
      <c r="Q41" s="720"/>
      <c r="R41" s="720"/>
      <c r="S41" s="720"/>
      <c r="T41" s="720"/>
      <c r="U41" s="720"/>
      <c r="V41" s="720"/>
      <c r="W41"/>
      <c r="X41"/>
      <c r="Y41"/>
      <c r="Z41"/>
      <c r="AA41"/>
    </row>
    <row r="42" spans="1:27" ht="12.75">
      <c r="A42" s="222" t="s">
        <v>542</v>
      </c>
      <c r="B42" s="303">
        <v>680002</v>
      </c>
      <c r="C42" s="421" t="s">
        <v>666</v>
      </c>
      <c r="D42" s="726" t="s">
        <v>874</v>
      </c>
      <c r="E42" s="223">
        <v>50667</v>
      </c>
      <c r="F42" s="223">
        <f t="shared" si="0"/>
        <v>32390</v>
      </c>
      <c r="G42" s="224"/>
      <c r="H42" s="224"/>
      <c r="I42" s="224">
        <v>32390</v>
      </c>
      <c r="J42" s="224"/>
      <c r="K42" s="224"/>
      <c r="L42" s="224"/>
      <c r="M42" s="224"/>
      <c r="N42" s="224"/>
      <c r="O42" s="224"/>
      <c r="P42" s="727"/>
      <c r="Q42" s="720"/>
      <c r="R42" s="720"/>
      <c r="S42" s="720"/>
      <c r="T42" s="720"/>
      <c r="U42" s="720"/>
      <c r="V42" s="720"/>
      <c r="W42"/>
      <c r="X42"/>
      <c r="Y42"/>
      <c r="Z42"/>
      <c r="AA42"/>
    </row>
    <row r="43" spans="1:27" ht="12.75">
      <c r="A43" s="222"/>
      <c r="B43" s="303"/>
      <c r="C43" s="421"/>
      <c r="D43" s="726" t="s">
        <v>33</v>
      </c>
      <c r="E43" s="223">
        <v>61781</v>
      </c>
      <c r="F43" s="223">
        <f t="shared" si="0"/>
        <v>33525</v>
      </c>
      <c r="G43" s="224"/>
      <c r="H43" s="224"/>
      <c r="I43" s="224">
        <v>33525</v>
      </c>
      <c r="J43" s="224"/>
      <c r="K43" s="224"/>
      <c r="L43" s="224"/>
      <c r="M43" s="224"/>
      <c r="N43" s="224"/>
      <c r="O43" s="224"/>
      <c r="P43" s="727"/>
      <c r="Q43" s="720"/>
      <c r="R43" s="720"/>
      <c r="S43" s="720"/>
      <c r="T43" s="720"/>
      <c r="U43" s="720"/>
      <c r="V43" s="720"/>
      <c r="W43"/>
      <c r="X43"/>
      <c r="Y43"/>
      <c r="Z43"/>
      <c r="AA43"/>
    </row>
    <row r="44" spans="1:27" ht="12.75">
      <c r="A44" s="222"/>
      <c r="B44" s="303"/>
      <c r="C44" s="421"/>
      <c r="D44" s="726" t="s">
        <v>321</v>
      </c>
      <c r="E44" s="223">
        <v>63484</v>
      </c>
      <c r="F44" s="223">
        <f t="shared" si="0"/>
        <v>32761</v>
      </c>
      <c r="G44" s="224"/>
      <c r="H44" s="224"/>
      <c r="I44" s="224">
        <v>32761</v>
      </c>
      <c r="J44" s="224"/>
      <c r="K44" s="224"/>
      <c r="L44" s="224"/>
      <c r="M44" s="224"/>
      <c r="N44" s="224"/>
      <c r="O44" s="224"/>
      <c r="P44" s="727"/>
      <c r="Q44" s="720"/>
      <c r="R44" s="720"/>
      <c r="S44" s="720"/>
      <c r="T44" s="720"/>
      <c r="U44" s="720"/>
      <c r="V44" s="720"/>
      <c r="W44"/>
      <c r="X44"/>
      <c r="Y44"/>
      <c r="Z44"/>
      <c r="AA44"/>
    </row>
    <row r="45" spans="1:27" ht="12.75">
      <c r="A45" s="222" t="s">
        <v>542</v>
      </c>
      <c r="B45" s="303">
        <v>750000</v>
      </c>
      <c r="C45" s="421" t="s">
        <v>667</v>
      </c>
      <c r="D45" s="726" t="s">
        <v>874</v>
      </c>
      <c r="E45" s="223"/>
      <c r="F45" s="223">
        <f t="shared" si="0"/>
        <v>6000</v>
      </c>
      <c r="G45" s="224"/>
      <c r="H45" s="224"/>
      <c r="I45" s="224">
        <v>6000</v>
      </c>
      <c r="J45" s="224"/>
      <c r="K45" s="224"/>
      <c r="L45" s="224"/>
      <c r="M45" s="224"/>
      <c r="N45" s="224"/>
      <c r="O45" s="224"/>
      <c r="P45" s="727"/>
      <c r="Q45" s="720"/>
      <c r="R45" s="720"/>
      <c r="S45" s="720"/>
      <c r="T45" s="720"/>
      <c r="U45" s="720"/>
      <c r="V45" s="720"/>
      <c r="W45"/>
      <c r="X45"/>
      <c r="Y45"/>
      <c r="Z45"/>
      <c r="AA45"/>
    </row>
    <row r="46" spans="1:27" ht="12.75">
      <c r="A46" s="222"/>
      <c r="B46" s="303"/>
      <c r="C46" s="421"/>
      <c r="D46" s="726" t="s">
        <v>33</v>
      </c>
      <c r="E46" s="223"/>
      <c r="F46" s="223">
        <f t="shared" si="0"/>
        <v>2940</v>
      </c>
      <c r="G46" s="224"/>
      <c r="H46" s="224"/>
      <c r="I46" s="224">
        <v>2940</v>
      </c>
      <c r="J46" s="224"/>
      <c r="K46" s="224"/>
      <c r="L46" s="224"/>
      <c r="M46" s="224"/>
      <c r="N46" s="224"/>
      <c r="O46" s="224"/>
      <c r="P46" s="727"/>
      <c r="Q46" s="720"/>
      <c r="R46" s="720"/>
      <c r="S46" s="720"/>
      <c r="T46" s="720"/>
      <c r="U46" s="720"/>
      <c r="V46" s="720"/>
      <c r="W46"/>
      <c r="X46"/>
      <c r="Y46"/>
      <c r="Z46"/>
      <c r="AA46"/>
    </row>
    <row r="47" spans="1:27" ht="12.75">
      <c r="A47" s="222"/>
      <c r="B47" s="303"/>
      <c r="C47" s="421"/>
      <c r="D47" s="726" t="s">
        <v>321</v>
      </c>
      <c r="E47" s="223"/>
      <c r="F47" s="223">
        <f t="shared" si="0"/>
        <v>2316</v>
      </c>
      <c r="G47" s="224"/>
      <c r="H47" s="224"/>
      <c r="I47" s="224">
        <v>2316</v>
      </c>
      <c r="J47" s="224"/>
      <c r="K47" s="224"/>
      <c r="L47" s="224"/>
      <c r="M47" s="224"/>
      <c r="N47" s="224"/>
      <c r="O47" s="224"/>
      <c r="P47" s="727"/>
      <c r="Q47" s="720"/>
      <c r="R47" s="720"/>
      <c r="S47" s="720"/>
      <c r="T47" s="720"/>
      <c r="U47" s="720"/>
      <c r="V47" s="720"/>
      <c r="W47"/>
      <c r="X47"/>
      <c r="Y47"/>
      <c r="Z47"/>
      <c r="AA47"/>
    </row>
    <row r="48" spans="1:27" ht="12.75">
      <c r="A48" s="222" t="s">
        <v>542</v>
      </c>
      <c r="B48" s="303">
        <v>813000</v>
      </c>
      <c r="C48" s="421" t="s">
        <v>668</v>
      </c>
      <c r="D48" s="726" t="s">
        <v>874</v>
      </c>
      <c r="E48" s="223"/>
      <c r="F48" s="223">
        <f t="shared" si="0"/>
        <v>48950</v>
      </c>
      <c r="G48" s="224"/>
      <c r="H48" s="224"/>
      <c r="I48" s="224">
        <v>48950</v>
      </c>
      <c r="J48" s="224"/>
      <c r="K48" s="224"/>
      <c r="L48" s="224"/>
      <c r="M48" s="224"/>
      <c r="N48" s="224"/>
      <c r="O48" s="224"/>
      <c r="P48" s="727"/>
      <c r="Q48" s="720"/>
      <c r="R48" s="720"/>
      <c r="S48" s="720"/>
      <c r="T48" s="720"/>
      <c r="U48" s="720"/>
      <c r="V48" s="720"/>
      <c r="W48"/>
      <c r="X48"/>
      <c r="Y48"/>
      <c r="Z48"/>
      <c r="AA48"/>
    </row>
    <row r="49" spans="1:27" ht="12.75">
      <c r="A49" s="222"/>
      <c r="B49" s="303"/>
      <c r="C49" s="421"/>
      <c r="D49" s="726" t="s">
        <v>33</v>
      </c>
      <c r="E49" s="223">
        <v>3000</v>
      </c>
      <c r="F49" s="223">
        <f t="shared" si="0"/>
        <v>58457</v>
      </c>
      <c r="G49" s="224">
        <v>3700</v>
      </c>
      <c r="H49" s="224">
        <v>307</v>
      </c>
      <c r="I49" s="224">
        <v>54450</v>
      </c>
      <c r="J49" s="224"/>
      <c r="K49" s="224"/>
      <c r="L49" s="224"/>
      <c r="M49" s="224"/>
      <c r="N49" s="224"/>
      <c r="O49" s="224"/>
      <c r="P49" s="727"/>
      <c r="Q49" s="720"/>
      <c r="R49" s="720"/>
      <c r="S49" s="720"/>
      <c r="T49" s="720"/>
      <c r="U49" s="720"/>
      <c r="V49" s="720"/>
      <c r="W49"/>
      <c r="X49"/>
      <c r="Y49"/>
      <c r="Z49"/>
      <c r="AA49"/>
    </row>
    <row r="50" spans="1:27" ht="12.75">
      <c r="A50" s="222"/>
      <c r="B50" s="303"/>
      <c r="C50" s="421"/>
      <c r="D50" s="726" t="s">
        <v>321</v>
      </c>
      <c r="E50" s="223">
        <v>2779</v>
      </c>
      <c r="F50" s="223">
        <f t="shared" si="0"/>
        <v>58229</v>
      </c>
      <c r="G50" s="224">
        <v>3495</v>
      </c>
      <c r="H50" s="224">
        <v>228</v>
      </c>
      <c r="I50" s="224">
        <v>54506</v>
      </c>
      <c r="J50" s="224"/>
      <c r="K50" s="224"/>
      <c r="L50" s="224"/>
      <c r="M50" s="224"/>
      <c r="N50" s="224"/>
      <c r="O50" s="224"/>
      <c r="P50" s="727"/>
      <c r="Q50" s="720"/>
      <c r="R50" s="720"/>
      <c r="S50" s="720"/>
      <c r="T50" s="720"/>
      <c r="U50" s="720"/>
      <c r="V50" s="720"/>
      <c r="W50"/>
      <c r="X50"/>
      <c r="Y50"/>
      <c r="Z50"/>
      <c r="AA50"/>
    </row>
    <row r="51" spans="1:27" ht="12.75">
      <c r="A51" s="222" t="s">
        <v>542</v>
      </c>
      <c r="B51" s="303">
        <v>813000</v>
      </c>
      <c r="C51" s="421" t="s">
        <v>669</v>
      </c>
      <c r="D51" s="726" t="s">
        <v>874</v>
      </c>
      <c r="E51" s="223"/>
      <c r="F51" s="223">
        <f t="shared" si="0"/>
        <v>12500</v>
      </c>
      <c r="G51" s="226"/>
      <c r="H51" s="226"/>
      <c r="I51" s="226">
        <v>4500</v>
      </c>
      <c r="J51" s="226"/>
      <c r="K51" s="226"/>
      <c r="L51" s="226">
        <v>8000</v>
      </c>
      <c r="M51" s="226"/>
      <c r="N51" s="226"/>
      <c r="O51" s="226"/>
      <c r="P51" s="727"/>
      <c r="Q51" s="720"/>
      <c r="R51" s="720"/>
      <c r="S51" s="720"/>
      <c r="T51" s="720"/>
      <c r="U51" s="720"/>
      <c r="V51" s="720"/>
      <c r="W51"/>
      <c r="X51"/>
      <c r="Y51"/>
      <c r="Z51"/>
      <c r="AA51"/>
    </row>
    <row r="52" spans="1:27" ht="12.75">
      <c r="A52" s="222"/>
      <c r="B52" s="303"/>
      <c r="C52" s="421"/>
      <c r="D52" s="726" t="s">
        <v>33</v>
      </c>
      <c r="E52" s="223"/>
      <c r="F52" s="223">
        <f t="shared" si="0"/>
        <v>13924</v>
      </c>
      <c r="G52" s="226"/>
      <c r="H52" s="226"/>
      <c r="I52" s="226">
        <v>7100</v>
      </c>
      <c r="J52" s="226"/>
      <c r="K52" s="226"/>
      <c r="L52" s="226">
        <v>6824</v>
      </c>
      <c r="M52" s="226"/>
      <c r="N52" s="226"/>
      <c r="O52" s="226"/>
      <c r="P52" s="727"/>
      <c r="Q52" s="720"/>
      <c r="R52" s="720"/>
      <c r="S52" s="720"/>
      <c r="T52" s="720"/>
      <c r="U52" s="720"/>
      <c r="V52" s="720"/>
      <c r="W52"/>
      <c r="X52"/>
      <c r="Y52"/>
      <c r="Z52"/>
      <c r="AA52"/>
    </row>
    <row r="53" spans="1:27" ht="12.75">
      <c r="A53" s="222"/>
      <c r="B53" s="303"/>
      <c r="C53" s="421"/>
      <c r="D53" s="726" t="s">
        <v>321</v>
      </c>
      <c r="E53" s="223"/>
      <c r="F53" s="223">
        <f t="shared" si="0"/>
        <v>9744</v>
      </c>
      <c r="G53" s="226"/>
      <c r="H53" s="226"/>
      <c r="I53" s="226">
        <v>7003</v>
      </c>
      <c r="J53" s="226"/>
      <c r="K53" s="226"/>
      <c r="L53" s="226">
        <v>2741</v>
      </c>
      <c r="M53" s="226"/>
      <c r="N53" s="226"/>
      <c r="O53" s="226"/>
      <c r="P53" s="727"/>
      <c r="Q53" s="720"/>
      <c r="R53" s="720"/>
      <c r="S53" s="720"/>
      <c r="T53" s="720"/>
      <c r="U53" s="720"/>
      <c r="V53" s="720"/>
      <c r="W53"/>
      <c r="X53"/>
      <c r="Y53"/>
      <c r="Z53"/>
      <c r="AA53"/>
    </row>
    <row r="54" spans="1:27" ht="12.75">
      <c r="A54" s="222" t="s">
        <v>544</v>
      </c>
      <c r="B54" s="303">
        <v>841112</v>
      </c>
      <c r="C54" s="421" t="s">
        <v>545</v>
      </c>
      <c r="D54" s="726" t="s">
        <v>874</v>
      </c>
      <c r="E54" s="223">
        <v>112923</v>
      </c>
      <c r="F54" s="223">
        <f t="shared" si="0"/>
        <v>198599</v>
      </c>
      <c r="G54" s="224">
        <v>38127</v>
      </c>
      <c r="H54" s="224">
        <v>11534</v>
      </c>
      <c r="I54" s="224">
        <v>29905</v>
      </c>
      <c r="J54" s="224"/>
      <c r="K54" s="224"/>
      <c r="L54" s="224"/>
      <c r="M54" s="224">
        <v>9110</v>
      </c>
      <c r="N54" s="224"/>
      <c r="O54" s="224">
        <v>109923</v>
      </c>
      <c r="P54" s="727"/>
      <c r="Q54" s="720"/>
      <c r="R54" s="720"/>
      <c r="S54" s="720"/>
      <c r="T54" s="720"/>
      <c r="U54" s="720"/>
      <c r="V54" s="720"/>
      <c r="W54"/>
      <c r="X54"/>
      <c r="Y54"/>
      <c r="Z54"/>
      <c r="AA54"/>
    </row>
    <row r="55" spans="1:27" ht="12.75">
      <c r="A55" s="222"/>
      <c r="B55" s="303"/>
      <c r="C55" s="421"/>
      <c r="D55" s="726" t="s">
        <v>33</v>
      </c>
      <c r="E55" s="223">
        <v>70237</v>
      </c>
      <c r="F55" s="223">
        <f t="shared" si="0"/>
        <v>115901</v>
      </c>
      <c r="G55" s="224">
        <v>41865</v>
      </c>
      <c r="H55" s="224">
        <v>15817</v>
      </c>
      <c r="I55" s="224">
        <v>45477</v>
      </c>
      <c r="J55" s="224"/>
      <c r="K55" s="224"/>
      <c r="L55" s="224"/>
      <c r="M55" s="224">
        <v>12742</v>
      </c>
      <c r="N55" s="224"/>
      <c r="O55" s="224"/>
      <c r="P55" s="727"/>
      <c r="Q55" s="720"/>
      <c r="R55" s="720"/>
      <c r="S55" s="720"/>
      <c r="T55" s="720"/>
      <c r="U55" s="720"/>
      <c r="V55" s="720"/>
      <c r="W55"/>
      <c r="X55"/>
      <c r="Y55"/>
      <c r="Z55"/>
      <c r="AA55"/>
    </row>
    <row r="56" spans="1:27" ht="12.75">
      <c r="A56" s="222"/>
      <c r="B56" s="303"/>
      <c r="C56" s="421"/>
      <c r="D56" s="726" t="s">
        <v>321</v>
      </c>
      <c r="E56" s="223">
        <v>64947</v>
      </c>
      <c r="F56" s="223">
        <f t="shared" si="0"/>
        <v>116284</v>
      </c>
      <c r="G56" s="224">
        <v>37046</v>
      </c>
      <c r="H56" s="224">
        <v>10975</v>
      </c>
      <c r="I56" s="224">
        <v>44689</v>
      </c>
      <c r="J56" s="224">
        <v>17705</v>
      </c>
      <c r="K56" s="224"/>
      <c r="L56" s="224"/>
      <c r="M56" s="224">
        <v>5869</v>
      </c>
      <c r="N56" s="224"/>
      <c r="O56" s="224"/>
      <c r="P56" s="727"/>
      <c r="Q56" s="720"/>
      <c r="R56" s="720"/>
      <c r="S56" s="720"/>
      <c r="T56" s="720"/>
      <c r="U56" s="720"/>
      <c r="V56" s="720"/>
      <c r="W56"/>
      <c r="X56"/>
      <c r="Y56"/>
      <c r="Z56"/>
      <c r="AA56"/>
    </row>
    <row r="57" spans="1:27" ht="12.75">
      <c r="A57" s="222" t="s">
        <v>544</v>
      </c>
      <c r="B57" s="303">
        <v>841112</v>
      </c>
      <c r="C57" s="421" t="s">
        <v>670</v>
      </c>
      <c r="D57" s="726" t="s">
        <v>874</v>
      </c>
      <c r="E57" s="223">
        <v>501869</v>
      </c>
      <c r="F57" s="223">
        <f t="shared" si="0"/>
        <v>0</v>
      </c>
      <c r="G57" s="224"/>
      <c r="H57" s="224"/>
      <c r="I57" s="224"/>
      <c r="J57" s="224"/>
      <c r="K57" s="224"/>
      <c r="L57" s="224"/>
      <c r="M57" s="224"/>
      <c r="N57" s="224"/>
      <c r="O57" s="224"/>
      <c r="P57" s="727"/>
      <c r="Q57" s="720"/>
      <c r="R57" s="720"/>
      <c r="S57" s="720"/>
      <c r="T57" s="720"/>
      <c r="U57" s="720"/>
      <c r="V57" s="720"/>
      <c r="W57"/>
      <c r="X57"/>
      <c r="Y57"/>
      <c r="Z57"/>
      <c r="AA57"/>
    </row>
    <row r="58" spans="1:27" ht="12.75">
      <c r="A58" s="222"/>
      <c r="B58" s="303"/>
      <c r="C58" s="421"/>
      <c r="D58" s="726" t="s">
        <v>33</v>
      </c>
      <c r="E58" s="223">
        <v>778737</v>
      </c>
      <c r="F58" s="223">
        <f t="shared" si="0"/>
        <v>0</v>
      </c>
      <c r="G58" s="224"/>
      <c r="H58" s="224"/>
      <c r="I58" s="224"/>
      <c r="J58" s="224"/>
      <c r="K58" s="224"/>
      <c r="L58" s="224"/>
      <c r="M58" s="224"/>
      <c r="N58" s="224"/>
      <c r="O58" s="224"/>
      <c r="P58" s="727"/>
      <c r="Q58" s="720"/>
      <c r="R58" s="720"/>
      <c r="S58" s="720"/>
      <c r="T58" s="720"/>
      <c r="U58" s="720"/>
      <c r="V58" s="720"/>
      <c r="W58"/>
      <c r="X58"/>
      <c r="Y58"/>
      <c r="Z58"/>
      <c r="AA58"/>
    </row>
    <row r="59" spans="1:27" ht="12.75">
      <c r="A59" s="222"/>
      <c r="B59" s="303"/>
      <c r="C59" s="421"/>
      <c r="D59" s="726" t="s">
        <v>321</v>
      </c>
      <c r="E59" s="223">
        <v>788399</v>
      </c>
      <c r="F59" s="223">
        <f t="shared" si="0"/>
        <v>0</v>
      </c>
      <c r="G59" s="224"/>
      <c r="H59" s="224"/>
      <c r="I59" s="224"/>
      <c r="J59" s="224"/>
      <c r="K59" s="224"/>
      <c r="L59" s="224"/>
      <c r="M59" s="224"/>
      <c r="N59" s="224"/>
      <c r="O59" s="224"/>
      <c r="P59" s="727"/>
      <c r="Q59" s="720"/>
      <c r="R59" s="720"/>
      <c r="S59" s="720"/>
      <c r="T59" s="720"/>
      <c r="U59" s="720"/>
      <c r="V59" s="720"/>
      <c r="W59"/>
      <c r="X59"/>
      <c r="Y59"/>
      <c r="Z59"/>
      <c r="AA59"/>
    </row>
    <row r="60" spans="1:27" ht="12.75">
      <c r="A60" s="222" t="s">
        <v>542</v>
      </c>
      <c r="B60" s="303">
        <v>841133</v>
      </c>
      <c r="C60" s="421" t="s">
        <v>546</v>
      </c>
      <c r="D60" s="726" t="s">
        <v>874</v>
      </c>
      <c r="E60" s="223">
        <v>1692200</v>
      </c>
      <c r="F60" s="223">
        <f t="shared" si="0"/>
        <v>1000</v>
      </c>
      <c r="G60" s="226"/>
      <c r="H60" s="226"/>
      <c r="I60" s="226"/>
      <c r="J60" s="226"/>
      <c r="K60" s="226"/>
      <c r="L60" s="226"/>
      <c r="M60" s="226">
        <v>1000</v>
      </c>
      <c r="N60" s="226"/>
      <c r="O60" s="226"/>
      <c r="P60" s="727"/>
      <c r="Q60" s="720"/>
      <c r="R60" s="720"/>
      <c r="S60" s="720"/>
      <c r="T60" s="720"/>
      <c r="U60" s="720"/>
      <c r="V60" s="720"/>
      <c r="W60"/>
      <c r="X60"/>
      <c r="Y60"/>
      <c r="Z60"/>
      <c r="AA60"/>
    </row>
    <row r="61" spans="1:27" ht="12.75">
      <c r="A61" s="222"/>
      <c r="B61" s="303"/>
      <c r="C61" s="421"/>
      <c r="D61" s="726" t="s">
        <v>33</v>
      </c>
      <c r="E61" s="223">
        <v>1705700</v>
      </c>
      <c r="F61" s="223">
        <f t="shared" si="0"/>
        <v>300</v>
      </c>
      <c r="G61" s="226"/>
      <c r="H61" s="226"/>
      <c r="I61" s="226">
        <v>300</v>
      </c>
      <c r="J61" s="226"/>
      <c r="K61" s="226"/>
      <c r="L61" s="226"/>
      <c r="M61" s="226"/>
      <c r="N61" s="226"/>
      <c r="O61" s="226"/>
      <c r="P61" s="727"/>
      <c r="Q61" s="720"/>
      <c r="R61" s="720"/>
      <c r="S61" s="720"/>
      <c r="T61" s="720"/>
      <c r="U61" s="720"/>
      <c r="V61" s="720"/>
      <c r="W61"/>
      <c r="X61"/>
      <c r="Y61"/>
      <c r="Z61"/>
      <c r="AA61"/>
    </row>
    <row r="62" spans="1:27" ht="12.75">
      <c r="A62" s="222"/>
      <c r="B62" s="303"/>
      <c r="C62" s="421"/>
      <c r="D62" s="726" t="s">
        <v>321</v>
      </c>
      <c r="E62" s="223">
        <v>1709028</v>
      </c>
      <c r="F62" s="223">
        <f t="shared" si="0"/>
        <v>295</v>
      </c>
      <c r="G62" s="226"/>
      <c r="H62" s="226"/>
      <c r="I62" s="226">
        <v>295</v>
      </c>
      <c r="J62" s="226"/>
      <c r="K62" s="226"/>
      <c r="L62" s="226"/>
      <c r="M62" s="226"/>
      <c r="N62" s="226"/>
      <c r="O62" s="226"/>
      <c r="P62" s="727"/>
      <c r="Q62" s="720"/>
      <c r="R62" s="720"/>
      <c r="S62" s="720"/>
      <c r="T62" s="720"/>
      <c r="U62" s="720"/>
      <c r="V62" s="720"/>
      <c r="W62"/>
      <c r="X62"/>
      <c r="Y62"/>
      <c r="Z62"/>
      <c r="AA62"/>
    </row>
    <row r="63" spans="1:27" ht="12.75">
      <c r="A63" s="222" t="s">
        <v>542</v>
      </c>
      <c r="B63" s="303">
        <v>841154</v>
      </c>
      <c r="C63" s="421" t="s">
        <v>547</v>
      </c>
      <c r="D63" s="726" t="s">
        <v>874</v>
      </c>
      <c r="E63" s="223">
        <v>443945</v>
      </c>
      <c r="F63" s="223">
        <f t="shared" si="0"/>
        <v>80694</v>
      </c>
      <c r="G63" s="224"/>
      <c r="H63" s="224"/>
      <c r="I63" s="224">
        <v>39052</v>
      </c>
      <c r="J63" s="224"/>
      <c r="K63" s="224"/>
      <c r="L63" s="224"/>
      <c r="M63" s="224">
        <v>21642</v>
      </c>
      <c r="N63" s="224"/>
      <c r="O63" s="224">
        <v>20000</v>
      </c>
      <c r="P63" s="727"/>
      <c r="Q63" s="720"/>
      <c r="R63" s="720"/>
      <c r="S63" s="720"/>
      <c r="T63" s="720"/>
      <c r="U63" s="720"/>
      <c r="V63" s="720"/>
      <c r="W63"/>
      <c r="X63"/>
      <c r="Y63"/>
      <c r="Z63"/>
      <c r="AA63"/>
    </row>
    <row r="64" spans="1:27" ht="12.75">
      <c r="A64" s="222"/>
      <c r="B64" s="303"/>
      <c r="C64" s="421"/>
      <c r="D64" s="726" t="s">
        <v>33</v>
      </c>
      <c r="E64" s="223">
        <v>122375</v>
      </c>
      <c r="F64" s="223">
        <f t="shared" si="0"/>
        <v>68068</v>
      </c>
      <c r="G64" s="224">
        <v>600</v>
      </c>
      <c r="H64" s="224">
        <v>146</v>
      </c>
      <c r="I64" s="224">
        <v>39112</v>
      </c>
      <c r="J64" s="224"/>
      <c r="K64" s="224"/>
      <c r="L64" s="224"/>
      <c r="M64" s="224">
        <v>28210</v>
      </c>
      <c r="N64" s="224"/>
      <c r="O64" s="224"/>
      <c r="P64" s="727"/>
      <c r="Q64" s="720"/>
      <c r="R64" s="720"/>
      <c r="S64" s="720"/>
      <c r="T64" s="720"/>
      <c r="U64" s="720"/>
      <c r="V64" s="720"/>
      <c r="W64"/>
      <c r="X64"/>
      <c r="Y64"/>
      <c r="Z64"/>
      <c r="AA64"/>
    </row>
    <row r="65" spans="1:27" ht="12.75">
      <c r="A65" s="222"/>
      <c r="B65" s="303"/>
      <c r="C65" s="421"/>
      <c r="D65" s="726" t="s">
        <v>321</v>
      </c>
      <c r="E65" s="223">
        <v>127098</v>
      </c>
      <c r="F65" s="223">
        <f t="shared" si="0"/>
        <v>43138</v>
      </c>
      <c r="G65" s="224">
        <v>600</v>
      </c>
      <c r="H65" s="224">
        <v>146</v>
      </c>
      <c r="I65" s="224">
        <v>16365</v>
      </c>
      <c r="J65" s="224"/>
      <c r="K65" s="224"/>
      <c r="L65" s="224"/>
      <c r="M65" s="224">
        <v>26027</v>
      </c>
      <c r="N65" s="224"/>
      <c r="O65" s="224"/>
      <c r="P65" s="727"/>
      <c r="Q65" s="720"/>
      <c r="R65" s="720"/>
      <c r="S65" s="720"/>
      <c r="T65" s="720"/>
      <c r="U65" s="720"/>
      <c r="V65" s="720"/>
      <c r="W65"/>
      <c r="X65"/>
      <c r="Y65"/>
      <c r="Z65"/>
      <c r="AA65"/>
    </row>
    <row r="66" spans="1:27" ht="12.75">
      <c r="A66" s="222" t="s">
        <v>543</v>
      </c>
      <c r="B66" s="303">
        <v>841191</v>
      </c>
      <c r="C66" s="421" t="s">
        <v>671</v>
      </c>
      <c r="D66" s="726" t="s">
        <v>874</v>
      </c>
      <c r="E66" s="223"/>
      <c r="F66" s="223">
        <f t="shared" si="0"/>
        <v>4233</v>
      </c>
      <c r="G66" s="226"/>
      <c r="H66" s="226">
        <v>900</v>
      </c>
      <c r="I66" s="226">
        <v>3333</v>
      </c>
      <c r="J66" s="226"/>
      <c r="K66" s="226"/>
      <c r="L66" s="226"/>
      <c r="M66" s="226"/>
      <c r="N66" s="226"/>
      <c r="O66" s="226"/>
      <c r="P66" s="727"/>
      <c r="Q66" s="720"/>
      <c r="R66" s="720"/>
      <c r="S66" s="720"/>
      <c r="T66" s="720"/>
      <c r="U66" s="720"/>
      <c r="V66" s="720"/>
      <c r="W66"/>
      <c r="X66"/>
      <c r="Y66"/>
      <c r="Z66"/>
      <c r="AA66"/>
    </row>
    <row r="67" spans="1:27" ht="12.75">
      <c r="A67" s="222"/>
      <c r="B67" s="303"/>
      <c r="C67" s="421"/>
      <c r="D67" s="726" t="s">
        <v>33</v>
      </c>
      <c r="E67" s="223"/>
      <c r="F67" s="223">
        <f t="shared" si="0"/>
        <v>14233</v>
      </c>
      <c r="G67" s="226"/>
      <c r="H67" s="226">
        <v>900</v>
      </c>
      <c r="I67" s="226">
        <v>13333</v>
      </c>
      <c r="J67" s="226"/>
      <c r="K67" s="226"/>
      <c r="L67" s="226"/>
      <c r="M67" s="226"/>
      <c r="N67" s="226"/>
      <c r="O67" s="226"/>
      <c r="P67" s="727"/>
      <c r="Q67" s="720"/>
      <c r="R67" s="720"/>
      <c r="S67" s="720"/>
      <c r="T67" s="720"/>
      <c r="U67" s="720"/>
      <c r="V67" s="720"/>
      <c r="W67"/>
      <c r="X67"/>
      <c r="Y67"/>
      <c r="Z67"/>
      <c r="AA67"/>
    </row>
    <row r="68" spans="1:27" ht="12.75">
      <c r="A68" s="222"/>
      <c r="B68" s="303"/>
      <c r="C68" s="421"/>
      <c r="D68" s="726" t="s">
        <v>321</v>
      </c>
      <c r="E68" s="223"/>
      <c r="F68" s="223">
        <f t="shared" si="0"/>
        <v>10859</v>
      </c>
      <c r="G68" s="226"/>
      <c r="H68" s="226">
        <v>45</v>
      </c>
      <c r="I68" s="226">
        <v>10814</v>
      </c>
      <c r="J68" s="226"/>
      <c r="K68" s="226"/>
      <c r="L68" s="226"/>
      <c r="M68" s="226"/>
      <c r="N68" s="226"/>
      <c r="O68" s="226"/>
      <c r="P68" s="727"/>
      <c r="Q68" s="720"/>
      <c r="R68" s="720"/>
      <c r="S68" s="720"/>
      <c r="T68" s="720"/>
      <c r="U68" s="720"/>
      <c r="V68" s="720"/>
      <c r="W68"/>
      <c r="X68"/>
      <c r="Y68"/>
      <c r="Z68"/>
      <c r="AA68"/>
    </row>
    <row r="69" spans="1:27" ht="12.75">
      <c r="A69" s="222" t="s">
        <v>543</v>
      </c>
      <c r="B69" s="303">
        <v>841192</v>
      </c>
      <c r="C69" s="421" t="s">
        <v>672</v>
      </c>
      <c r="D69" s="726" t="s">
        <v>874</v>
      </c>
      <c r="E69" s="223">
        <v>1500</v>
      </c>
      <c r="F69" s="223">
        <f t="shared" si="0"/>
        <v>3023</v>
      </c>
      <c r="G69" s="226"/>
      <c r="H69" s="226">
        <v>643</v>
      </c>
      <c r="I69" s="226">
        <v>2380</v>
      </c>
      <c r="J69" s="226"/>
      <c r="K69" s="226"/>
      <c r="L69" s="226"/>
      <c r="M69" s="226"/>
      <c r="N69" s="226"/>
      <c r="O69" s="226"/>
      <c r="P69" s="727"/>
      <c r="Q69" s="720"/>
      <c r="R69" s="720"/>
      <c r="S69" s="720"/>
      <c r="T69" s="720"/>
      <c r="U69" s="720"/>
      <c r="V69" s="720"/>
      <c r="W69"/>
      <c r="X69"/>
      <c r="Y69"/>
      <c r="Z69"/>
      <c r="AA69"/>
    </row>
    <row r="70" spans="1:27" ht="12.75">
      <c r="A70" s="222"/>
      <c r="B70" s="303"/>
      <c r="C70" s="421"/>
      <c r="D70" s="726" t="s">
        <v>33</v>
      </c>
      <c r="E70" s="223">
        <v>3191</v>
      </c>
      <c r="F70" s="223">
        <f t="shared" si="0"/>
        <v>4854</v>
      </c>
      <c r="G70" s="226"/>
      <c r="H70" s="226"/>
      <c r="I70" s="226">
        <v>4854</v>
      </c>
      <c r="J70" s="226"/>
      <c r="K70" s="226"/>
      <c r="L70" s="226"/>
      <c r="M70" s="226"/>
      <c r="N70" s="226"/>
      <c r="O70" s="226"/>
      <c r="P70" s="727"/>
      <c r="Q70" s="720"/>
      <c r="R70" s="720"/>
      <c r="S70" s="720"/>
      <c r="T70" s="720"/>
      <c r="U70" s="720"/>
      <c r="V70" s="720"/>
      <c r="W70"/>
      <c r="X70"/>
      <c r="Y70"/>
      <c r="Z70"/>
      <c r="AA70"/>
    </row>
    <row r="71" spans="1:27" ht="13.5" thickBot="1">
      <c r="A71" s="722"/>
      <c r="B71" s="743"/>
      <c r="C71" s="744"/>
      <c r="D71" s="745" t="s">
        <v>321</v>
      </c>
      <c r="E71" s="746">
        <v>2870</v>
      </c>
      <c r="F71" s="746">
        <f>SUM(G71:P71)</f>
        <v>4848</v>
      </c>
      <c r="G71" s="524"/>
      <c r="H71" s="524"/>
      <c r="I71" s="524">
        <v>4848</v>
      </c>
      <c r="J71" s="524"/>
      <c r="K71" s="524"/>
      <c r="L71" s="524"/>
      <c r="M71" s="524"/>
      <c r="N71" s="524"/>
      <c r="O71" s="524"/>
      <c r="P71" s="747"/>
      <c r="Q71" s="720"/>
      <c r="R71" s="720"/>
      <c r="S71" s="720"/>
      <c r="T71" s="720"/>
      <c r="U71" s="720"/>
      <c r="V71" s="720"/>
      <c r="W71"/>
      <c r="X71"/>
      <c r="Y71"/>
      <c r="Z71"/>
      <c r="AA71"/>
    </row>
    <row r="72" spans="1:27" ht="12.75">
      <c r="A72" s="723" t="s">
        <v>543</v>
      </c>
      <c r="B72" s="728">
        <v>841192</v>
      </c>
      <c r="C72" s="741" t="s">
        <v>673</v>
      </c>
      <c r="D72" s="742" t="s">
        <v>874</v>
      </c>
      <c r="E72" s="724"/>
      <c r="F72" s="724">
        <f t="shared" si="0"/>
        <v>7589</v>
      </c>
      <c r="G72" s="725">
        <v>3000</v>
      </c>
      <c r="H72" s="725">
        <v>1613</v>
      </c>
      <c r="I72" s="725">
        <v>2976</v>
      </c>
      <c r="J72" s="725"/>
      <c r="K72" s="725"/>
      <c r="L72" s="725"/>
      <c r="M72" s="725"/>
      <c r="N72" s="725"/>
      <c r="O72" s="725"/>
      <c r="P72" s="729"/>
      <c r="Q72" s="720"/>
      <c r="R72" s="720"/>
      <c r="S72" s="720"/>
      <c r="T72" s="720"/>
      <c r="U72" s="720"/>
      <c r="V72" s="720"/>
      <c r="W72"/>
      <c r="X72"/>
      <c r="Y72"/>
      <c r="Z72"/>
      <c r="AA72"/>
    </row>
    <row r="73" spans="1:27" ht="12.75">
      <c r="A73" s="222"/>
      <c r="B73" s="303"/>
      <c r="C73" s="421"/>
      <c r="D73" s="726" t="s">
        <v>33</v>
      </c>
      <c r="E73" s="223"/>
      <c r="F73" s="223">
        <f t="shared" si="0"/>
        <v>7596</v>
      </c>
      <c r="G73" s="226">
        <v>2807</v>
      </c>
      <c r="H73" s="226">
        <v>1613</v>
      </c>
      <c r="I73" s="226">
        <v>2983</v>
      </c>
      <c r="J73" s="226">
        <v>193</v>
      </c>
      <c r="K73" s="226"/>
      <c r="L73" s="226"/>
      <c r="M73" s="226"/>
      <c r="N73" s="226"/>
      <c r="O73" s="226"/>
      <c r="P73" s="727"/>
      <c r="Q73" s="720"/>
      <c r="R73" s="720"/>
      <c r="S73" s="720"/>
      <c r="T73" s="720"/>
      <c r="U73" s="720"/>
      <c r="V73" s="720"/>
      <c r="W73"/>
      <c r="X73"/>
      <c r="Y73"/>
      <c r="Z73"/>
      <c r="AA73"/>
    </row>
    <row r="74" spans="1:27" ht="12.75">
      <c r="A74" s="222"/>
      <c r="B74" s="303"/>
      <c r="C74" s="421"/>
      <c r="D74" s="726" t="s">
        <v>321</v>
      </c>
      <c r="E74" s="223"/>
      <c r="F74" s="223">
        <f t="shared" si="0"/>
        <v>5245</v>
      </c>
      <c r="G74" s="226">
        <v>2034</v>
      </c>
      <c r="H74" s="226">
        <v>1285</v>
      </c>
      <c r="I74" s="226">
        <v>1733</v>
      </c>
      <c r="J74" s="226">
        <v>193</v>
      </c>
      <c r="K74" s="226"/>
      <c r="L74" s="226"/>
      <c r="M74" s="226"/>
      <c r="N74" s="226"/>
      <c r="O74" s="226"/>
      <c r="P74" s="727"/>
      <c r="Q74" s="720"/>
      <c r="R74" s="720"/>
      <c r="S74" s="720"/>
      <c r="T74" s="720"/>
      <c r="U74" s="720"/>
      <c r="V74" s="720"/>
      <c r="W74"/>
      <c r="X74"/>
      <c r="Y74"/>
      <c r="Z74"/>
      <c r="AA74"/>
    </row>
    <row r="75" spans="1:27" ht="12.75">
      <c r="A75" s="222" t="s">
        <v>543</v>
      </c>
      <c r="B75" s="303">
        <v>841192</v>
      </c>
      <c r="C75" s="421" t="s">
        <v>674</v>
      </c>
      <c r="D75" s="726" t="s">
        <v>874</v>
      </c>
      <c r="E75" s="223"/>
      <c r="F75" s="223">
        <f t="shared" si="0"/>
        <v>8012</v>
      </c>
      <c r="G75" s="226"/>
      <c r="H75" s="226">
        <v>1703</v>
      </c>
      <c r="I75" s="226">
        <v>6309</v>
      </c>
      <c r="J75" s="226"/>
      <c r="K75" s="226"/>
      <c r="L75" s="226"/>
      <c r="M75" s="226"/>
      <c r="N75" s="226"/>
      <c r="O75" s="226"/>
      <c r="P75" s="727"/>
      <c r="Q75" s="720"/>
      <c r="R75" s="720"/>
      <c r="S75" s="720"/>
      <c r="T75" s="720"/>
      <c r="U75" s="720"/>
      <c r="V75" s="720"/>
      <c r="W75"/>
      <c r="X75"/>
      <c r="Y75"/>
      <c r="Z75"/>
      <c r="AA75"/>
    </row>
    <row r="76" spans="1:27" ht="12.75">
      <c r="A76" s="222"/>
      <c r="B76" s="303"/>
      <c r="C76" s="421"/>
      <c r="D76" s="726" t="s">
        <v>33</v>
      </c>
      <c r="E76" s="223"/>
      <c r="F76" s="223">
        <f t="shared" si="0"/>
        <v>8042</v>
      </c>
      <c r="G76" s="226"/>
      <c r="H76" s="226">
        <v>1703</v>
      </c>
      <c r="I76" s="226">
        <v>6339</v>
      </c>
      <c r="J76" s="226"/>
      <c r="K76" s="226"/>
      <c r="L76" s="226"/>
      <c r="M76" s="226"/>
      <c r="N76" s="226"/>
      <c r="O76" s="226"/>
      <c r="P76" s="727"/>
      <c r="Q76" s="720"/>
      <c r="R76" s="720"/>
      <c r="S76" s="720"/>
      <c r="T76" s="720"/>
      <c r="U76" s="720"/>
      <c r="V76" s="720"/>
      <c r="W76"/>
      <c r="X76"/>
      <c r="Y76"/>
      <c r="Z76"/>
      <c r="AA76"/>
    </row>
    <row r="77" spans="1:27" ht="12.75">
      <c r="A77" s="222"/>
      <c r="B77" s="303"/>
      <c r="C77" s="421"/>
      <c r="D77" s="726" t="s">
        <v>321</v>
      </c>
      <c r="E77" s="223"/>
      <c r="F77" s="223">
        <f t="shared" si="0"/>
        <v>1929</v>
      </c>
      <c r="G77" s="226"/>
      <c r="H77" s="226">
        <v>471</v>
      </c>
      <c r="I77" s="226">
        <v>1458</v>
      </c>
      <c r="J77" s="226"/>
      <c r="K77" s="226"/>
      <c r="L77" s="226"/>
      <c r="M77" s="226"/>
      <c r="N77" s="226"/>
      <c r="O77" s="226"/>
      <c r="P77" s="727"/>
      <c r="Q77" s="720"/>
      <c r="R77" s="720"/>
      <c r="S77" s="720"/>
      <c r="T77" s="720"/>
      <c r="U77" s="720"/>
      <c r="V77" s="720"/>
      <c r="W77"/>
      <c r="X77"/>
      <c r="Y77"/>
      <c r="Z77"/>
      <c r="AA77"/>
    </row>
    <row r="78" spans="1:27" ht="12.75">
      <c r="A78" s="222" t="s">
        <v>542</v>
      </c>
      <c r="B78" s="303">
        <v>841235</v>
      </c>
      <c r="C78" s="421" t="s">
        <v>675</v>
      </c>
      <c r="D78" s="726" t="s">
        <v>874</v>
      </c>
      <c r="E78" s="223">
        <v>104457</v>
      </c>
      <c r="F78" s="223">
        <f t="shared" si="0"/>
        <v>176739</v>
      </c>
      <c r="G78" s="226"/>
      <c r="H78" s="226"/>
      <c r="I78" s="226">
        <v>73473</v>
      </c>
      <c r="J78" s="226">
        <v>95900</v>
      </c>
      <c r="K78" s="226"/>
      <c r="L78" s="226">
        <v>1016</v>
      </c>
      <c r="M78" s="226">
        <v>6350</v>
      </c>
      <c r="N78" s="226"/>
      <c r="O78" s="226"/>
      <c r="P78" s="727"/>
      <c r="Q78" s="720"/>
      <c r="R78" s="720"/>
      <c r="S78" s="720"/>
      <c r="T78" s="720"/>
      <c r="U78" s="720"/>
      <c r="V78" s="720"/>
      <c r="W78"/>
      <c r="X78"/>
      <c r="Y78"/>
      <c r="Z78"/>
      <c r="AA78"/>
    </row>
    <row r="79" spans="1:27" ht="12.75">
      <c r="A79" s="222"/>
      <c r="B79" s="303"/>
      <c r="C79" s="421"/>
      <c r="D79" s="726" t="s">
        <v>33</v>
      </c>
      <c r="E79" s="223">
        <v>39421</v>
      </c>
      <c r="F79" s="223">
        <f t="shared" si="0"/>
        <v>363098</v>
      </c>
      <c r="G79" s="226">
        <v>1237</v>
      </c>
      <c r="H79" s="226">
        <v>331</v>
      </c>
      <c r="I79" s="226">
        <v>59018</v>
      </c>
      <c r="J79" s="226">
        <v>30585</v>
      </c>
      <c r="K79" s="226"/>
      <c r="L79" s="226">
        <v>1016</v>
      </c>
      <c r="M79" s="226">
        <v>43374</v>
      </c>
      <c r="N79" s="226">
        <v>227537</v>
      </c>
      <c r="O79" s="226"/>
      <c r="P79" s="727"/>
      <c r="Q79" s="720"/>
      <c r="R79" s="720"/>
      <c r="S79" s="720"/>
      <c r="T79" s="720"/>
      <c r="U79" s="720"/>
      <c r="V79" s="720"/>
      <c r="W79"/>
      <c r="X79"/>
      <c r="Y79"/>
      <c r="Z79"/>
      <c r="AA79"/>
    </row>
    <row r="80" spans="1:27" ht="12.75">
      <c r="A80" s="222"/>
      <c r="B80" s="303"/>
      <c r="C80" s="421"/>
      <c r="D80" s="726" t="s">
        <v>321</v>
      </c>
      <c r="E80" s="223">
        <v>38907</v>
      </c>
      <c r="F80" s="223">
        <f t="shared" si="0"/>
        <v>257253</v>
      </c>
      <c r="G80" s="226">
        <v>1096</v>
      </c>
      <c r="H80" s="226">
        <v>320</v>
      </c>
      <c r="I80" s="226">
        <v>58000</v>
      </c>
      <c r="J80" s="226">
        <v>25214</v>
      </c>
      <c r="K80" s="226">
        <v>9</v>
      </c>
      <c r="L80" s="226"/>
      <c r="M80" s="226">
        <v>37506</v>
      </c>
      <c r="N80" s="226">
        <v>135108</v>
      </c>
      <c r="O80" s="226"/>
      <c r="P80" s="727"/>
      <c r="Q80" s="720"/>
      <c r="R80" s="720"/>
      <c r="S80" s="720"/>
      <c r="T80" s="720"/>
      <c r="U80" s="720"/>
      <c r="V80" s="720"/>
      <c r="W80"/>
      <c r="X80"/>
      <c r="Y80"/>
      <c r="Z80"/>
      <c r="AA80"/>
    </row>
    <row r="81" spans="1:27" ht="12.75">
      <c r="A81" s="222" t="s">
        <v>543</v>
      </c>
      <c r="B81" s="303">
        <v>841361</v>
      </c>
      <c r="C81" s="421" t="s">
        <v>676</v>
      </c>
      <c r="D81" s="726" t="s">
        <v>874</v>
      </c>
      <c r="E81" s="223"/>
      <c r="F81" s="223">
        <f t="shared" si="0"/>
        <v>3000</v>
      </c>
      <c r="G81" s="224"/>
      <c r="H81" s="224"/>
      <c r="I81" s="224"/>
      <c r="J81" s="224">
        <v>3000</v>
      </c>
      <c r="K81" s="224"/>
      <c r="L81" s="224"/>
      <c r="M81" s="224"/>
      <c r="N81" s="224"/>
      <c r="O81" s="224"/>
      <c r="P81" s="727"/>
      <c r="Q81" s="720"/>
      <c r="R81" s="720"/>
      <c r="S81" s="720"/>
      <c r="T81" s="720"/>
      <c r="U81" s="720"/>
      <c r="V81" s="720"/>
      <c r="W81"/>
      <c r="X81"/>
      <c r="Y81"/>
      <c r="Z81"/>
      <c r="AA81"/>
    </row>
    <row r="82" spans="1:27" ht="12.75">
      <c r="A82" s="222"/>
      <c r="B82" s="303"/>
      <c r="C82" s="421"/>
      <c r="D82" s="726" t="s">
        <v>33</v>
      </c>
      <c r="E82" s="223"/>
      <c r="F82" s="223">
        <f t="shared" si="0"/>
        <v>3500</v>
      </c>
      <c r="G82" s="224"/>
      <c r="H82" s="224"/>
      <c r="I82" s="224"/>
      <c r="J82" s="224">
        <v>3500</v>
      </c>
      <c r="K82" s="224"/>
      <c r="L82" s="224"/>
      <c r="M82" s="224"/>
      <c r="N82" s="224"/>
      <c r="O82" s="224"/>
      <c r="P82" s="727"/>
      <c r="Q82" s="720"/>
      <c r="R82" s="720"/>
      <c r="S82" s="720"/>
      <c r="T82" s="720"/>
      <c r="U82" s="720"/>
      <c r="V82" s="720"/>
      <c r="W82"/>
      <c r="X82"/>
      <c r="Y82"/>
      <c r="Z82"/>
      <c r="AA82"/>
    </row>
    <row r="83" spans="1:27" ht="12.75">
      <c r="A83" s="222"/>
      <c r="B83" s="303"/>
      <c r="C83" s="421"/>
      <c r="D83" s="726" t="s">
        <v>321</v>
      </c>
      <c r="E83" s="223"/>
      <c r="F83" s="223">
        <f t="shared" si="0"/>
        <v>1500</v>
      </c>
      <c r="G83" s="224"/>
      <c r="H83" s="224"/>
      <c r="I83" s="224"/>
      <c r="J83" s="224">
        <v>1500</v>
      </c>
      <c r="K83" s="224"/>
      <c r="L83" s="224"/>
      <c r="M83" s="224"/>
      <c r="N83" s="224"/>
      <c r="O83" s="224"/>
      <c r="P83" s="727"/>
      <c r="Q83" s="720"/>
      <c r="R83" s="720"/>
      <c r="S83" s="720"/>
      <c r="T83" s="720"/>
      <c r="U83" s="720"/>
      <c r="V83" s="720"/>
      <c r="W83"/>
      <c r="X83"/>
      <c r="Y83"/>
      <c r="Z83"/>
      <c r="AA83"/>
    </row>
    <row r="84" spans="1:27" ht="12.75">
      <c r="A84" s="222" t="s">
        <v>542</v>
      </c>
      <c r="B84" s="303">
        <v>841402</v>
      </c>
      <c r="C84" s="421" t="s">
        <v>677</v>
      </c>
      <c r="D84" s="726" t="s">
        <v>874</v>
      </c>
      <c r="E84" s="223">
        <v>117402</v>
      </c>
      <c r="F84" s="223">
        <f t="shared" si="0"/>
        <v>234036</v>
      </c>
      <c r="G84" s="226"/>
      <c r="H84" s="226"/>
      <c r="I84" s="226">
        <v>60894</v>
      </c>
      <c r="J84" s="226"/>
      <c r="K84" s="226"/>
      <c r="L84" s="226">
        <v>6096</v>
      </c>
      <c r="M84" s="226">
        <v>21925</v>
      </c>
      <c r="N84" s="227"/>
      <c r="O84" s="226">
        <v>145121</v>
      </c>
      <c r="P84" s="727"/>
      <c r="Q84" s="720"/>
      <c r="R84" s="720"/>
      <c r="S84" s="720"/>
      <c r="T84" s="720"/>
      <c r="U84" s="720"/>
      <c r="V84" s="720"/>
      <c r="W84"/>
      <c r="X84"/>
      <c r="Y84"/>
      <c r="Z84"/>
      <c r="AA84"/>
    </row>
    <row r="85" spans="1:27" ht="12.75">
      <c r="A85" s="222"/>
      <c r="B85" s="303"/>
      <c r="C85" s="421"/>
      <c r="D85" s="726" t="s">
        <v>33</v>
      </c>
      <c r="E85" s="223"/>
      <c r="F85" s="223">
        <f t="shared" si="0"/>
        <v>91569</v>
      </c>
      <c r="G85" s="226">
        <v>43</v>
      </c>
      <c r="H85" s="226">
        <v>10</v>
      </c>
      <c r="I85" s="226">
        <v>68044</v>
      </c>
      <c r="J85" s="226"/>
      <c r="K85" s="226"/>
      <c r="L85" s="226">
        <v>6096</v>
      </c>
      <c r="M85" s="226">
        <v>17376</v>
      </c>
      <c r="N85" s="227"/>
      <c r="O85" s="226"/>
      <c r="P85" s="727"/>
      <c r="Q85" s="720"/>
      <c r="R85" s="720"/>
      <c r="S85" s="720"/>
      <c r="T85" s="720"/>
      <c r="U85" s="720"/>
      <c r="V85" s="720"/>
      <c r="W85"/>
      <c r="X85"/>
      <c r="Y85"/>
      <c r="Z85"/>
      <c r="AA85"/>
    </row>
    <row r="86" spans="1:27" ht="12.75">
      <c r="A86" s="222"/>
      <c r="B86" s="303"/>
      <c r="C86" s="421"/>
      <c r="D86" s="726" t="s">
        <v>321</v>
      </c>
      <c r="E86" s="223"/>
      <c r="F86" s="223">
        <f t="shared" si="0"/>
        <v>78781</v>
      </c>
      <c r="G86" s="226"/>
      <c r="H86" s="226"/>
      <c r="I86" s="226">
        <v>62627</v>
      </c>
      <c r="J86" s="226"/>
      <c r="K86" s="226"/>
      <c r="L86" s="226">
        <v>1099</v>
      </c>
      <c r="M86" s="226">
        <v>15055</v>
      </c>
      <c r="N86" s="227"/>
      <c r="O86" s="226"/>
      <c r="P86" s="727"/>
      <c r="Q86" s="720"/>
      <c r="R86" s="720"/>
      <c r="S86" s="720"/>
      <c r="T86" s="720"/>
      <c r="U86" s="720"/>
      <c r="V86" s="720"/>
      <c r="W86"/>
      <c r="X86"/>
      <c r="Y86"/>
      <c r="Z86"/>
      <c r="AA86"/>
    </row>
    <row r="87" spans="1:27" ht="12.75">
      <c r="A87" s="222" t="s">
        <v>542</v>
      </c>
      <c r="B87" s="303">
        <v>841401</v>
      </c>
      <c r="C87" s="421" t="s">
        <v>678</v>
      </c>
      <c r="D87" s="726" t="s">
        <v>874</v>
      </c>
      <c r="E87" s="223"/>
      <c r="F87" s="223">
        <f t="shared" si="0"/>
        <v>7150</v>
      </c>
      <c r="G87" s="226"/>
      <c r="H87" s="226"/>
      <c r="I87" s="226">
        <v>7150</v>
      </c>
      <c r="J87" s="226"/>
      <c r="K87" s="226"/>
      <c r="L87" s="226"/>
      <c r="M87" s="226"/>
      <c r="N87" s="226"/>
      <c r="O87" s="226"/>
      <c r="P87" s="727"/>
      <c r="Q87" s="720"/>
      <c r="R87" s="720"/>
      <c r="S87" s="720"/>
      <c r="T87" s="720"/>
      <c r="U87" s="720"/>
      <c r="V87" s="720"/>
      <c r="W87"/>
      <c r="X87"/>
      <c r="Y87"/>
      <c r="Z87"/>
      <c r="AA87"/>
    </row>
    <row r="88" spans="1:27" ht="12.75">
      <c r="A88" s="222"/>
      <c r="B88" s="303"/>
      <c r="C88" s="421"/>
      <c r="D88" s="726" t="s">
        <v>33</v>
      </c>
      <c r="E88" s="223"/>
      <c r="F88" s="223">
        <f t="shared" si="0"/>
        <v>2450</v>
      </c>
      <c r="G88" s="226"/>
      <c r="H88" s="226"/>
      <c r="I88" s="226">
        <v>2450</v>
      </c>
      <c r="J88" s="226"/>
      <c r="K88" s="226"/>
      <c r="L88" s="226"/>
      <c r="M88" s="226"/>
      <c r="N88" s="226"/>
      <c r="O88" s="226"/>
      <c r="P88" s="727"/>
      <c r="Q88" s="720"/>
      <c r="R88" s="720"/>
      <c r="S88" s="720"/>
      <c r="T88" s="720"/>
      <c r="U88" s="720"/>
      <c r="V88" s="720"/>
      <c r="W88"/>
      <c r="X88"/>
      <c r="Y88"/>
      <c r="Z88"/>
      <c r="AA88"/>
    </row>
    <row r="89" spans="1:27" ht="12.75">
      <c r="A89" s="222"/>
      <c r="B89" s="303"/>
      <c r="C89" s="421"/>
      <c r="D89" s="726" t="s">
        <v>321</v>
      </c>
      <c r="E89" s="223">
        <v>100</v>
      </c>
      <c r="F89" s="223">
        <f t="shared" si="0"/>
        <v>2352</v>
      </c>
      <c r="G89" s="226"/>
      <c r="H89" s="226"/>
      <c r="I89" s="226">
        <v>2352</v>
      </c>
      <c r="J89" s="226"/>
      <c r="K89" s="226"/>
      <c r="L89" s="226"/>
      <c r="M89" s="226"/>
      <c r="N89" s="226"/>
      <c r="O89" s="226"/>
      <c r="P89" s="727"/>
      <c r="Q89" s="720"/>
      <c r="R89" s="720"/>
      <c r="S89" s="720"/>
      <c r="T89" s="720"/>
      <c r="U89" s="720"/>
      <c r="V89" s="720"/>
      <c r="W89"/>
      <c r="X89"/>
      <c r="Y89"/>
      <c r="Z89"/>
      <c r="AA89"/>
    </row>
    <row r="90" spans="1:27" ht="12.75">
      <c r="A90" s="222" t="s">
        <v>542</v>
      </c>
      <c r="B90" s="303">
        <v>841403</v>
      </c>
      <c r="C90" s="421" t="s">
        <v>679</v>
      </c>
      <c r="D90" s="726" t="s">
        <v>874</v>
      </c>
      <c r="E90" s="223"/>
      <c r="F90" s="223">
        <f t="shared" si="0"/>
        <v>119713</v>
      </c>
      <c r="G90" s="226"/>
      <c r="H90" s="226"/>
      <c r="I90" s="226">
        <v>10213</v>
      </c>
      <c r="J90" s="226">
        <v>82000</v>
      </c>
      <c r="K90" s="226"/>
      <c r="L90" s="226"/>
      <c r="M90" s="226">
        <v>27500</v>
      </c>
      <c r="N90" s="227"/>
      <c r="O90" s="226"/>
      <c r="P90" s="727"/>
      <c r="Q90" s="720"/>
      <c r="R90" s="720"/>
      <c r="S90" s="720"/>
      <c r="T90" s="720"/>
      <c r="U90" s="720"/>
      <c r="V90" s="720"/>
      <c r="W90"/>
      <c r="X90"/>
      <c r="Y90"/>
      <c r="Z90"/>
      <c r="AA90"/>
    </row>
    <row r="91" spans="1:27" ht="12.75">
      <c r="A91" s="222"/>
      <c r="B91" s="303"/>
      <c r="C91" s="421"/>
      <c r="D91" s="726" t="s">
        <v>33</v>
      </c>
      <c r="E91" s="223">
        <v>5330</v>
      </c>
      <c r="F91" s="223">
        <f t="shared" si="0"/>
        <v>165193</v>
      </c>
      <c r="G91" s="226"/>
      <c r="H91" s="226"/>
      <c r="I91" s="226">
        <v>15609</v>
      </c>
      <c r="J91" s="226">
        <v>86846</v>
      </c>
      <c r="K91" s="226"/>
      <c r="L91" s="226"/>
      <c r="M91" s="226">
        <v>62738</v>
      </c>
      <c r="N91" s="227"/>
      <c r="O91" s="226"/>
      <c r="P91" s="727"/>
      <c r="Q91" s="720"/>
      <c r="R91" s="720"/>
      <c r="S91" s="720"/>
      <c r="T91" s="720"/>
      <c r="U91" s="720"/>
      <c r="V91" s="720"/>
      <c r="W91"/>
      <c r="X91"/>
      <c r="Y91"/>
      <c r="Z91"/>
      <c r="AA91"/>
    </row>
    <row r="92" spans="1:27" ht="12.75">
      <c r="A92" s="222"/>
      <c r="B92" s="303"/>
      <c r="C92" s="421"/>
      <c r="D92" s="726" t="s">
        <v>321</v>
      </c>
      <c r="E92" s="223">
        <v>6532</v>
      </c>
      <c r="F92" s="223">
        <f t="shared" si="0"/>
        <v>150293</v>
      </c>
      <c r="G92" s="226"/>
      <c r="H92" s="226"/>
      <c r="I92" s="226">
        <v>14955</v>
      </c>
      <c r="J92" s="226">
        <v>80100</v>
      </c>
      <c r="K92" s="226"/>
      <c r="L92" s="226"/>
      <c r="M92" s="226">
        <v>55238</v>
      </c>
      <c r="N92" s="227"/>
      <c r="O92" s="226"/>
      <c r="P92" s="727"/>
      <c r="Q92" s="720"/>
      <c r="R92" s="720"/>
      <c r="S92" s="720"/>
      <c r="T92" s="720"/>
      <c r="U92" s="720"/>
      <c r="V92" s="720"/>
      <c r="W92"/>
      <c r="X92"/>
      <c r="Y92"/>
      <c r="Z92"/>
      <c r="AA92"/>
    </row>
    <row r="93" spans="1:27" ht="12.75">
      <c r="A93" s="222" t="s">
        <v>542</v>
      </c>
      <c r="B93" s="303">
        <v>841403</v>
      </c>
      <c r="C93" s="421" t="s">
        <v>680</v>
      </c>
      <c r="D93" s="726" t="s">
        <v>874</v>
      </c>
      <c r="E93" s="223"/>
      <c r="F93" s="223">
        <f t="shared" si="0"/>
        <v>24601</v>
      </c>
      <c r="G93" s="224">
        <v>1344</v>
      </c>
      <c r="H93" s="224">
        <v>363</v>
      </c>
      <c r="I93" s="224">
        <v>10944</v>
      </c>
      <c r="J93" s="224">
        <v>6000</v>
      </c>
      <c r="K93" s="224"/>
      <c r="L93" s="224"/>
      <c r="M93" s="224">
        <v>5950</v>
      </c>
      <c r="N93" s="224"/>
      <c r="O93" s="224"/>
      <c r="P93" s="727"/>
      <c r="Q93" s="720"/>
      <c r="R93" s="720"/>
      <c r="S93" s="720"/>
      <c r="T93" s="720"/>
      <c r="U93" s="720"/>
      <c r="V93" s="720"/>
      <c r="W93"/>
      <c r="X93"/>
      <c r="Y93"/>
      <c r="Z93"/>
      <c r="AA93"/>
    </row>
    <row r="94" spans="1:27" ht="12.75">
      <c r="A94" s="222"/>
      <c r="B94" s="303"/>
      <c r="C94" s="421"/>
      <c r="D94" s="726" t="s">
        <v>33</v>
      </c>
      <c r="E94" s="223"/>
      <c r="F94" s="223">
        <f t="shared" si="0"/>
        <v>8443</v>
      </c>
      <c r="G94" s="224">
        <v>200</v>
      </c>
      <c r="H94" s="224">
        <v>363</v>
      </c>
      <c r="I94" s="224">
        <v>3944</v>
      </c>
      <c r="J94" s="224">
        <v>2300</v>
      </c>
      <c r="K94" s="224"/>
      <c r="L94" s="224"/>
      <c r="M94" s="224">
        <v>1636</v>
      </c>
      <c r="N94" s="224"/>
      <c r="O94" s="224"/>
      <c r="P94" s="727"/>
      <c r="Q94" s="720"/>
      <c r="R94" s="720"/>
      <c r="S94" s="720"/>
      <c r="T94" s="720"/>
      <c r="U94" s="720"/>
      <c r="V94" s="720"/>
      <c r="W94"/>
      <c r="X94"/>
      <c r="Y94"/>
      <c r="Z94"/>
      <c r="AA94"/>
    </row>
    <row r="95" spans="1:27" ht="12.75">
      <c r="A95" s="222"/>
      <c r="B95" s="303"/>
      <c r="C95" s="421"/>
      <c r="D95" s="726" t="s">
        <v>321</v>
      </c>
      <c r="E95" s="223"/>
      <c r="F95" s="223">
        <f t="shared" si="0"/>
        <v>3614</v>
      </c>
      <c r="G95" s="224">
        <v>65</v>
      </c>
      <c r="H95" s="224">
        <v>16</v>
      </c>
      <c r="I95" s="224">
        <v>2483</v>
      </c>
      <c r="J95" s="224"/>
      <c r="K95" s="224"/>
      <c r="L95" s="224"/>
      <c r="M95" s="224">
        <v>1050</v>
      </c>
      <c r="N95" s="224"/>
      <c r="O95" s="224"/>
      <c r="P95" s="727"/>
      <c r="Q95" s="720"/>
      <c r="R95" s="720"/>
      <c r="S95" s="720"/>
      <c r="T95" s="720"/>
      <c r="U95" s="720"/>
      <c r="V95" s="720"/>
      <c r="W95"/>
      <c r="X95"/>
      <c r="Y95"/>
      <c r="Z95"/>
      <c r="AA95"/>
    </row>
    <row r="96" spans="1:27" ht="12.75">
      <c r="A96" s="222" t="s">
        <v>544</v>
      </c>
      <c r="B96" s="303">
        <v>841901</v>
      </c>
      <c r="C96" s="421" t="s">
        <v>681</v>
      </c>
      <c r="D96" s="726" t="s">
        <v>874</v>
      </c>
      <c r="E96" s="223">
        <v>778320</v>
      </c>
      <c r="F96" s="223">
        <f t="shared" si="0"/>
        <v>0</v>
      </c>
      <c r="G96" s="224"/>
      <c r="H96" s="224"/>
      <c r="I96" s="224"/>
      <c r="J96" s="224"/>
      <c r="K96" s="224"/>
      <c r="L96" s="224"/>
      <c r="M96" s="224"/>
      <c r="N96" s="224"/>
      <c r="O96" s="224"/>
      <c r="P96" s="727"/>
      <c r="Q96" s="720"/>
      <c r="R96" s="720"/>
      <c r="S96" s="720"/>
      <c r="T96" s="720"/>
      <c r="U96" s="720"/>
      <c r="V96" s="720"/>
      <c r="W96"/>
      <c r="X96"/>
      <c r="Y96"/>
      <c r="Z96"/>
      <c r="AA96"/>
    </row>
    <row r="97" spans="1:27" ht="12.75">
      <c r="A97" s="222"/>
      <c r="B97" s="303"/>
      <c r="C97" s="421"/>
      <c r="D97" s="726" t="s">
        <v>33</v>
      </c>
      <c r="E97" s="223">
        <v>913019</v>
      </c>
      <c r="F97" s="223">
        <f t="shared" si="0"/>
        <v>0</v>
      </c>
      <c r="G97" s="224"/>
      <c r="H97" s="224"/>
      <c r="I97" s="224"/>
      <c r="J97" s="224"/>
      <c r="K97" s="224"/>
      <c r="L97" s="224"/>
      <c r="M97" s="224"/>
      <c r="N97" s="224"/>
      <c r="O97" s="224"/>
      <c r="P97" s="727"/>
      <c r="Q97" s="720"/>
      <c r="R97" s="720"/>
      <c r="S97" s="720"/>
      <c r="T97" s="720"/>
      <c r="U97" s="720"/>
      <c r="V97" s="720"/>
      <c r="W97"/>
      <c r="X97"/>
      <c r="Y97"/>
      <c r="Z97"/>
      <c r="AA97"/>
    </row>
    <row r="98" spans="1:27" ht="12.75">
      <c r="A98" s="222"/>
      <c r="B98" s="303"/>
      <c r="C98" s="421"/>
      <c r="D98" s="726" t="s">
        <v>321</v>
      </c>
      <c r="E98" s="223">
        <v>921341</v>
      </c>
      <c r="F98" s="223">
        <f t="shared" si="0"/>
        <v>0</v>
      </c>
      <c r="G98" s="224"/>
      <c r="H98" s="224"/>
      <c r="I98" s="224"/>
      <c r="J98" s="224"/>
      <c r="K98" s="224"/>
      <c r="L98" s="224"/>
      <c r="M98" s="224"/>
      <c r="N98" s="224"/>
      <c r="O98" s="224"/>
      <c r="P98" s="727"/>
      <c r="Q98" s="720"/>
      <c r="R98" s="720"/>
      <c r="S98" s="720"/>
      <c r="T98" s="720"/>
      <c r="U98" s="720"/>
      <c r="V98" s="720"/>
      <c r="W98"/>
      <c r="X98"/>
      <c r="Y98"/>
      <c r="Z98"/>
      <c r="AA98"/>
    </row>
    <row r="99" spans="1:27" ht="12.75">
      <c r="A99" s="222" t="s">
        <v>544</v>
      </c>
      <c r="B99" s="303">
        <v>841902</v>
      </c>
      <c r="C99" s="421" t="s">
        <v>682</v>
      </c>
      <c r="D99" s="726" t="s">
        <v>874</v>
      </c>
      <c r="E99" s="223"/>
      <c r="F99" s="223">
        <f t="shared" si="0"/>
        <v>1000</v>
      </c>
      <c r="G99" s="226"/>
      <c r="H99" s="226"/>
      <c r="I99" s="226">
        <v>1000</v>
      </c>
      <c r="J99" s="226"/>
      <c r="K99" s="226"/>
      <c r="L99" s="226"/>
      <c r="M99" s="226"/>
      <c r="N99" s="226"/>
      <c r="O99" s="226"/>
      <c r="P99" s="727"/>
      <c r="Q99" s="720"/>
      <c r="R99" s="720"/>
      <c r="S99" s="720"/>
      <c r="T99" s="720"/>
      <c r="U99" s="720"/>
      <c r="V99" s="720"/>
      <c r="W99"/>
      <c r="X99"/>
      <c r="Y99"/>
      <c r="Z99"/>
      <c r="AA99"/>
    </row>
    <row r="100" spans="1:27" ht="12.75">
      <c r="A100" s="222"/>
      <c r="B100" s="303"/>
      <c r="C100" s="421"/>
      <c r="D100" s="726" t="s">
        <v>33</v>
      </c>
      <c r="E100" s="223"/>
      <c r="F100" s="223">
        <f t="shared" si="0"/>
        <v>8119</v>
      </c>
      <c r="G100" s="226"/>
      <c r="H100" s="226"/>
      <c r="I100" s="226">
        <v>8119</v>
      </c>
      <c r="J100" s="226"/>
      <c r="K100" s="226"/>
      <c r="L100" s="226"/>
      <c r="M100" s="226"/>
      <c r="N100" s="226"/>
      <c r="O100" s="226"/>
      <c r="P100" s="727"/>
      <c r="Q100" s="720"/>
      <c r="R100" s="720"/>
      <c r="S100" s="720"/>
      <c r="T100" s="720"/>
      <c r="U100" s="720"/>
      <c r="V100" s="720"/>
      <c r="W100"/>
      <c r="X100"/>
      <c r="Y100"/>
      <c r="Z100"/>
      <c r="AA100"/>
    </row>
    <row r="101" spans="1:27" ht="12.75">
      <c r="A101" s="222"/>
      <c r="B101" s="303"/>
      <c r="C101" s="421"/>
      <c r="D101" s="726" t="s">
        <v>321</v>
      </c>
      <c r="E101" s="223"/>
      <c r="F101" s="223">
        <f t="shared" si="0"/>
        <v>8573</v>
      </c>
      <c r="G101" s="226"/>
      <c r="H101" s="226"/>
      <c r="I101" s="226">
        <v>8573</v>
      </c>
      <c r="J101" s="226"/>
      <c r="K101" s="226"/>
      <c r="L101" s="226"/>
      <c r="M101" s="226"/>
      <c r="N101" s="226"/>
      <c r="O101" s="226"/>
      <c r="P101" s="727"/>
      <c r="Q101" s="720"/>
      <c r="R101" s="720"/>
      <c r="S101" s="720"/>
      <c r="T101" s="720"/>
      <c r="U101" s="720"/>
      <c r="V101" s="720"/>
      <c r="W101"/>
      <c r="X101"/>
      <c r="Y101"/>
      <c r="Z101"/>
      <c r="AA101"/>
    </row>
    <row r="102" spans="1:27" ht="12.75">
      <c r="A102" s="222" t="s">
        <v>544</v>
      </c>
      <c r="B102" s="303">
        <v>841906</v>
      </c>
      <c r="C102" s="421" t="s">
        <v>683</v>
      </c>
      <c r="D102" s="726" t="s">
        <v>874</v>
      </c>
      <c r="E102" s="223">
        <v>714718</v>
      </c>
      <c r="F102" s="223">
        <f t="shared" si="0"/>
        <v>178798</v>
      </c>
      <c r="G102" s="226"/>
      <c r="H102" s="226"/>
      <c r="I102" s="226">
        <v>52213</v>
      </c>
      <c r="J102" s="226">
        <v>3046</v>
      </c>
      <c r="K102" s="226"/>
      <c r="L102" s="226"/>
      <c r="M102" s="226"/>
      <c r="N102" s="226">
        <v>123539</v>
      </c>
      <c r="O102" s="226"/>
      <c r="P102" s="727"/>
      <c r="Q102" s="720"/>
      <c r="R102" s="720"/>
      <c r="S102" s="720"/>
      <c r="T102" s="720"/>
      <c r="U102" s="720"/>
      <c r="V102" s="720"/>
      <c r="W102"/>
      <c r="X102"/>
      <c r="Y102"/>
      <c r="Z102"/>
      <c r="AA102"/>
    </row>
    <row r="103" spans="1:27" ht="12.75">
      <c r="A103" s="222"/>
      <c r="B103" s="303"/>
      <c r="C103" s="421"/>
      <c r="D103" s="726" t="s">
        <v>33</v>
      </c>
      <c r="E103" s="223"/>
      <c r="F103" s="223">
        <f t="shared" si="0"/>
        <v>134954</v>
      </c>
      <c r="G103" s="226"/>
      <c r="H103" s="226"/>
      <c r="I103" s="226">
        <v>33329</v>
      </c>
      <c r="J103" s="226">
        <v>3046</v>
      </c>
      <c r="K103" s="226"/>
      <c r="L103" s="226"/>
      <c r="M103" s="226"/>
      <c r="N103" s="226">
        <v>98579</v>
      </c>
      <c r="O103" s="226"/>
      <c r="P103" s="727"/>
      <c r="Q103" s="720"/>
      <c r="R103" s="720"/>
      <c r="S103" s="720"/>
      <c r="T103" s="720"/>
      <c r="U103" s="720"/>
      <c r="V103" s="720"/>
      <c r="W103"/>
      <c r="X103"/>
      <c r="Y103"/>
      <c r="Z103"/>
      <c r="AA103"/>
    </row>
    <row r="104" spans="1:27" ht="12.75">
      <c r="A104" s="222"/>
      <c r="B104" s="303"/>
      <c r="C104" s="421"/>
      <c r="D104" s="726" t="s">
        <v>321</v>
      </c>
      <c r="E104" s="223">
        <v>2434</v>
      </c>
      <c r="F104" s="223">
        <f t="shared" si="0"/>
        <v>134877</v>
      </c>
      <c r="G104" s="226"/>
      <c r="H104" s="226"/>
      <c r="I104" s="226">
        <v>33463</v>
      </c>
      <c r="J104" s="226">
        <v>2898</v>
      </c>
      <c r="K104" s="226"/>
      <c r="L104" s="226"/>
      <c r="M104" s="226"/>
      <c r="N104" s="226">
        <v>98516</v>
      </c>
      <c r="O104" s="226"/>
      <c r="P104" s="727"/>
      <c r="Q104" s="720"/>
      <c r="R104" s="720"/>
      <c r="S104" s="720"/>
      <c r="T104" s="720"/>
      <c r="U104" s="720"/>
      <c r="V104" s="720"/>
      <c r="W104"/>
      <c r="X104"/>
      <c r="Y104"/>
      <c r="Z104"/>
      <c r="AA104"/>
    </row>
    <row r="105" spans="1:27" ht="12.75">
      <c r="A105" s="222" t="s">
        <v>544</v>
      </c>
      <c r="B105" s="303">
        <v>841908</v>
      </c>
      <c r="C105" s="421" t="s">
        <v>51</v>
      </c>
      <c r="D105" s="726" t="s">
        <v>874</v>
      </c>
      <c r="E105" s="223"/>
      <c r="F105" s="223">
        <f t="shared" si="0"/>
        <v>13000</v>
      </c>
      <c r="G105" s="226"/>
      <c r="H105" s="226"/>
      <c r="I105" s="226"/>
      <c r="J105" s="226"/>
      <c r="K105" s="226"/>
      <c r="L105" s="226"/>
      <c r="M105" s="226"/>
      <c r="N105" s="226"/>
      <c r="O105" s="226">
        <v>13000</v>
      </c>
      <c r="P105" s="727"/>
      <c r="Q105" s="720"/>
      <c r="R105" s="720"/>
      <c r="S105" s="720"/>
      <c r="T105" s="720"/>
      <c r="U105" s="720"/>
      <c r="V105" s="720"/>
      <c r="W105"/>
      <c r="X105"/>
      <c r="Y105"/>
      <c r="Z105"/>
      <c r="AA105"/>
    </row>
    <row r="106" spans="1:27" ht="12.75">
      <c r="A106" s="222"/>
      <c r="B106" s="303"/>
      <c r="C106" s="421"/>
      <c r="D106" s="726" t="s">
        <v>33</v>
      </c>
      <c r="E106" s="223"/>
      <c r="F106" s="223">
        <f aca="true" t="shared" si="1" ref="F106:F140">SUM(G106:P106)</f>
        <v>0</v>
      </c>
      <c r="G106" s="226"/>
      <c r="H106" s="226"/>
      <c r="I106" s="226"/>
      <c r="J106" s="226"/>
      <c r="K106" s="226"/>
      <c r="L106" s="226"/>
      <c r="M106" s="226"/>
      <c r="N106" s="226"/>
      <c r="O106" s="226"/>
      <c r="P106" s="727"/>
      <c r="Q106" s="720"/>
      <c r="R106" s="720"/>
      <c r="S106" s="720"/>
      <c r="T106" s="720"/>
      <c r="U106" s="720"/>
      <c r="V106" s="720"/>
      <c r="W106"/>
      <c r="X106"/>
      <c r="Y106"/>
      <c r="Z106"/>
      <c r="AA106"/>
    </row>
    <row r="107" spans="1:27" ht="12.75">
      <c r="A107" s="222"/>
      <c r="B107" s="303"/>
      <c r="C107" s="421"/>
      <c r="D107" s="726" t="s">
        <v>321</v>
      </c>
      <c r="E107" s="223"/>
      <c r="F107" s="223">
        <f t="shared" si="1"/>
        <v>0</v>
      </c>
      <c r="G107" s="226"/>
      <c r="H107" s="226"/>
      <c r="I107" s="226"/>
      <c r="J107" s="226"/>
      <c r="K107" s="226"/>
      <c r="L107" s="226"/>
      <c r="M107" s="226"/>
      <c r="N107" s="226"/>
      <c r="O107" s="226"/>
      <c r="P107" s="727"/>
      <c r="Q107" s="720"/>
      <c r="R107" s="720"/>
      <c r="S107" s="720"/>
      <c r="T107" s="720"/>
      <c r="U107" s="720"/>
      <c r="V107" s="720"/>
      <c r="W107"/>
      <c r="X107"/>
      <c r="Y107"/>
      <c r="Z107"/>
      <c r="AA107"/>
    </row>
    <row r="108" spans="1:27" ht="12.75">
      <c r="A108" s="222" t="s">
        <v>544</v>
      </c>
      <c r="B108" s="303">
        <v>841908</v>
      </c>
      <c r="C108" s="421" t="s">
        <v>684</v>
      </c>
      <c r="D108" s="726" t="s">
        <v>874</v>
      </c>
      <c r="E108" s="223"/>
      <c r="F108" s="223">
        <f t="shared" si="1"/>
        <v>196632</v>
      </c>
      <c r="G108" s="226"/>
      <c r="H108" s="226"/>
      <c r="I108" s="226"/>
      <c r="J108" s="226"/>
      <c r="K108" s="226"/>
      <c r="L108" s="226"/>
      <c r="M108" s="226"/>
      <c r="N108" s="226"/>
      <c r="O108" s="226">
        <v>196632</v>
      </c>
      <c r="P108" s="727"/>
      <c r="Q108" s="720"/>
      <c r="R108" s="720"/>
      <c r="S108" s="720"/>
      <c r="T108" s="720"/>
      <c r="U108" s="720"/>
      <c r="V108" s="720"/>
      <c r="W108"/>
      <c r="X108"/>
      <c r="Y108"/>
      <c r="Z108"/>
      <c r="AA108"/>
    </row>
    <row r="109" spans="1:27" ht="12.75">
      <c r="A109" s="222"/>
      <c r="B109" s="303"/>
      <c r="C109" s="421"/>
      <c r="D109" s="726" t="s">
        <v>33</v>
      </c>
      <c r="E109" s="223"/>
      <c r="F109" s="223">
        <f t="shared" si="1"/>
        <v>24304</v>
      </c>
      <c r="G109" s="226"/>
      <c r="H109" s="226"/>
      <c r="I109" s="226"/>
      <c r="J109" s="226"/>
      <c r="K109" s="226"/>
      <c r="L109" s="226"/>
      <c r="M109" s="226"/>
      <c r="N109" s="226"/>
      <c r="O109" s="226">
        <v>24304</v>
      </c>
      <c r="P109" s="727"/>
      <c r="Q109" s="720"/>
      <c r="R109" s="720"/>
      <c r="S109" s="720"/>
      <c r="T109" s="720"/>
      <c r="U109" s="720"/>
      <c r="V109" s="720"/>
      <c r="W109"/>
      <c r="X109"/>
      <c r="Y109"/>
      <c r="Z109"/>
      <c r="AA109"/>
    </row>
    <row r="110" spans="1:27" ht="12.75">
      <c r="A110" s="222"/>
      <c r="B110" s="303"/>
      <c r="C110" s="421"/>
      <c r="D110" s="726" t="s">
        <v>321</v>
      </c>
      <c r="E110" s="223"/>
      <c r="F110" s="223">
        <f t="shared" si="1"/>
        <v>0</v>
      </c>
      <c r="G110" s="226"/>
      <c r="H110" s="226"/>
      <c r="I110" s="226"/>
      <c r="J110" s="226"/>
      <c r="K110" s="226"/>
      <c r="L110" s="226"/>
      <c r="M110" s="226"/>
      <c r="N110" s="226"/>
      <c r="O110" s="226"/>
      <c r="P110" s="727"/>
      <c r="Q110" s="720"/>
      <c r="R110" s="720"/>
      <c r="S110" s="720"/>
      <c r="T110" s="720"/>
      <c r="U110" s="720"/>
      <c r="V110" s="720"/>
      <c r="W110"/>
      <c r="X110"/>
      <c r="Y110"/>
      <c r="Z110"/>
      <c r="AA110"/>
    </row>
    <row r="111" spans="1:27" ht="12.75">
      <c r="A111" s="222" t="s">
        <v>544</v>
      </c>
      <c r="B111" s="303">
        <v>841913</v>
      </c>
      <c r="C111" s="421" t="s">
        <v>723</v>
      </c>
      <c r="D111" s="726" t="s">
        <v>874</v>
      </c>
      <c r="E111" s="223"/>
      <c r="F111" s="223">
        <f t="shared" si="1"/>
        <v>1507660</v>
      </c>
      <c r="G111" s="226"/>
      <c r="H111" s="226"/>
      <c r="I111" s="226"/>
      <c r="J111" s="226"/>
      <c r="K111" s="226"/>
      <c r="L111" s="226"/>
      <c r="M111" s="226"/>
      <c r="N111" s="226"/>
      <c r="O111" s="226"/>
      <c r="P111" s="737">
        <v>1507660</v>
      </c>
      <c r="Q111" s="720"/>
      <c r="R111" s="720"/>
      <c r="S111" s="720"/>
      <c r="T111" s="720"/>
      <c r="U111" s="720"/>
      <c r="V111" s="720"/>
      <c r="W111"/>
      <c r="X111"/>
      <c r="Y111"/>
      <c r="Z111"/>
      <c r="AA111"/>
    </row>
    <row r="112" spans="1:27" ht="12.75">
      <c r="A112" s="222"/>
      <c r="B112" s="303"/>
      <c r="C112" s="421"/>
      <c r="D112" s="726" t="s">
        <v>33</v>
      </c>
      <c r="E112" s="223"/>
      <c r="F112" s="223">
        <f t="shared" si="1"/>
        <v>1538241</v>
      </c>
      <c r="G112" s="226"/>
      <c r="H112" s="226"/>
      <c r="I112" s="226"/>
      <c r="J112" s="226"/>
      <c r="K112" s="226"/>
      <c r="L112" s="226"/>
      <c r="M112" s="226"/>
      <c r="N112" s="226"/>
      <c r="O112" s="226"/>
      <c r="P112" s="737">
        <v>1538241</v>
      </c>
      <c r="Q112" s="720"/>
      <c r="R112" s="720"/>
      <c r="S112" s="720"/>
      <c r="T112" s="720"/>
      <c r="U112" s="720"/>
      <c r="V112" s="720"/>
      <c r="W112"/>
      <c r="X112"/>
      <c r="Y112"/>
      <c r="Z112"/>
      <c r="AA112"/>
    </row>
    <row r="113" spans="1:27" ht="12.75">
      <c r="A113" s="222"/>
      <c r="B113" s="303"/>
      <c r="C113" s="421"/>
      <c r="D113" s="726" t="s">
        <v>321</v>
      </c>
      <c r="E113" s="223"/>
      <c r="F113" s="223">
        <f t="shared" si="1"/>
        <v>1484838</v>
      </c>
      <c r="G113" s="226"/>
      <c r="H113" s="226"/>
      <c r="I113" s="226"/>
      <c r="J113" s="226"/>
      <c r="K113" s="226"/>
      <c r="L113" s="226"/>
      <c r="M113" s="226"/>
      <c r="N113" s="226"/>
      <c r="O113" s="226"/>
      <c r="P113" s="737">
        <v>1484838</v>
      </c>
      <c r="Q113" s="720"/>
      <c r="R113" s="720"/>
      <c r="S113" s="720"/>
      <c r="T113" s="720"/>
      <c r="U113" s="720"/>
      <c r="V113" s="720"/>
      <c r="W113"/>
      <c r="X113"/>
      <c r="Y113"/>
      <c r="Z113"/>
      <c r="AA113"/>
    </row>
    <row r="114" spans="1:27" ht="12.75">
      <c r="A114" s="222" t="s">
        <v>543</v>
      </c>
      <c r="B114" s="303">
        <v>842155</v>
      </c>
      <c r="C114" s="421" t="s">
        <v>685</v>
      </c>
      <c r="D114" s="726" t="s">
        <v>874</v>
      </c>
      <c r="E114" s="223"/>
      <c r="F114" s="223">
        <f t="shared" si="1"/>
        <v>80</v>
      </c>
      <c r="G114" s="226"/>
      <c r="H114" s="226"/>
      <c r="I114" s="226"/>
      <c r="J114" s="226">
        <v>80</v>
      </c>
      <c r="K114" s="226"/>
      <c r="L114" s="226"/>
      <c r="M114" s="226"/>
      <c r="N114" s="227"/>
      <c r="O114" s="226"/>
      <c r="P114" s="727"/>
      <c r="Q114" s="720"/>
      <c r="R114" s="720"/>
      <c r="S114" s="720"/>
      <c r="T114" s="720"/>
      <c r="U114" s="720"/>
      <c r="V114" s="720"/>
      <c r="W114"/>
      <c r="X114"/>
      <c r="Y114"/>
      <c r="Z114"/>
      <c r="AA114"/>
    </row>
    <row r="115" spans="1:27" ht="12.75">
      <c r="A115" s="222"/>
      <c r="B115" s="303"/>
      <c r="C115" s="421"/>
      <c r="D115" s="726" t="s">
        <v>33</v>
      </c>
      <c r="E115" s="223"/>
      <c r="F115" s="223">
        <f t="shared" si="1"/>
        <v>190</v>
      </c>
      <c r="G115" s="226"/>
      <c r="H115" s="226"/>
      <c r="I115" s="226">
        <v>110</v>
      </c>
      <c r="J115" s="226">
        <v>80</v>
      </c>
      <c r="K115" s="226"/>
      <c r="L115" s="226"/>
      <c r="M115" s="226"/>
      <c r="N115" s="227"/>
      <c r="O115" s="226"/>
      <c r="P115" s="727"/>
      <c r="Q115" s="720"/>
      <c r="R115" s="720"/>
      <c r="S115" s="720"/>
      <c r="T115" s="720"/>
      <c r="U115" s="720"/>
      <c r="V115" s="720"/>
      <c r="W115"/>
      <c r="X115"/>
      <c r="Y115"/>
      <c r="Z115"/>
      <c r="AA115"/>
    </row>
    <row r="116" spans="1:27" ht="12.75">
      <c r="A116" s="222"/>
      <c r="B116" s="303"/>
      <c r="C116" s="421"/>
      <c r="D116" s="726" t="s">
        <v>321</v>
      </c>
      <c r="E116" s="223">
        <v>2</v>
      </c>
      <c r="F116" s="223">
        <f t="shared" si="1"/>
        <v>139</v>
      </c>
      <c r="G116" s="226"/>
      <c r="H116" s="226"/>
      <c r="I116" s="226">
        <v>56</v>
      </c>
      <c r="J116" s="226">
        <v>83</v>
      </c>
      <c r="K116" s="226"/>
      <c r="L116" s="226"/>
      <c r="M116" s="226"/>
      <c r="N116" s="227"/>
      <c r="O116" s="226"/>
      <c r="P116" s="727"/>
      <c r="Q116" s="720"/>
      <c r="R116" s="720"/>
      <c r="S116" s="720"/>
      <c r="T116" s="720"/>
      <c r="U116" s="720"/>
      <c r="V116" s="720"/>
      <c r="W116"/>
      <c r="X116"/>
      <c r="Y116"/>
      <c r="Z116"/>
      <c r="AA116"/>
    </row>
    <row r="117" spans="1:27" ht="12.75">
      <c r="A117" s="222" t="s">
        <v>543</v>
      </c>
      <c r="B117" s="303">
        <v>842155</v>
      </c>
      <c r="C117" s="421" t="s">
        <v>686</v>
      </c>
      <c r="D117" s="726" t="s">
        <v>874</v>
      </c>
      <c r="E117" s="223"/>
      <c r="F117" s="223">
        <f t="shared" si="1"/>
        <v>20293</v>
      </c>
      <c r="G117" s="226"/>
      <c r="H117" s="226">
        <v>2570</v>
      </c>
      <c r="I117" s="226">
        <v>17723</v>
      </c>
      <c r="J117" s="226"/>
      <c r="K117" s="226"/>
      <c r="L117" s="226"/>
      <c r="M117" s="226"/>
      <c r="N117" s="226"/>
      <c r="O117" s="226"/>
      <c r="P117" s="727"/>
      <c r="Q117" s="720"/>
      <c r="R117" s="720"/>
      <c r="S117" s="720"/>
      <c r="T117" s="720"/>
      <c r="U117" s="720"/>
      <c r="V117" s="720"/>
      <c r="W117"/>
      <c r="X117"/>
      <c r="Y117"/>
      <c r="Z117"/>
      <c r="AA117"/>
    </row>
    <row r="118" spans="1:27" ht="12.75">
      <c r="A118" s="222"/>
      <c r="B118" s="303"/>
      <c r="C118" s="421"/>
      <c r="D118" s="726" t="s">
        <v>33</v>
      </c>
      <c r="E118" s="223">
        <v>1709</v>
      </c>
      <c r="F118" s="223">
        <f t="shared" si="1"/>
        <v>28002</v>
      </c>
      <c r="G118" s="226">
        <v>1355</v>
      </c>
      <c r="H118" s="226">
        <v>3870</v>
      </c>
      <c r="I118" s="226">
        <v>22223</v>
      </c>
      <c r="J118" s="226">
        <v>554</v>
      </c>
      <c r="K118" s="226"/>
      <c r="L118" s="226"/>
      <c r="M118" s="226"/>
      <c r="N118" s="226"/>
      <c r="O118" s="226"/>
      <c r="P118" s="727"/>
      <c r="Q118" s="720"/>
      <c r="R118" s="720"/>
      <c r="S118" s="720"/>
      <c r="T118" s="720"/>
      <c r="U118" s="720"/>
      <c r="V118" s="720"/>
      <c r="W118"/>
      <c r="X118"/>
      <c r="Y118"/>
      <c r="Z118"/>
      <c r="AA118"/>
    </row>
    <row r="119" spans="1:27" ht="12.75">
      <c r="A119" s="222"/>
      <c r="B119" s="303"/>
      <c r="C119" s="421"/>
      <c r="D119" s="726" t="s">
        <v>321</v>
      </c>
      <c r="E119" s="223">
        <v>2188</v>
      </c>
      <c r="F119" s="223">
        <f t="shared" si="1"/>
        <v>27558</v>
      </c>
      <c r="G119" s="226">
        <v>1354</v>
      </c>
      <c r="H119" s="226">
        <v>3825</v>
      </c>
      <c r="I119" s="226">
        <v>21825</v>
      </c>
      <c r="J119" s="226">
        <v>554</v>
      </c>
      <c r="K119" s="226"/>
      <c r="L119" s="226"/>
      <c r="M119" s="226"/>
      <c r="N119" s="226"/>
      <c r="O119" s="226"/>
      <c r="P119" s="727"/>
      <c r="Q119" s="720"/>
      <c r="R119" s="720"/>
      <c r="S119" s="720"/>
      <c r="T119" s="720"/>
      <c r="U119" s="720"/>
      <c r="V119" s="720"/>
      <c r="W119"/>
      <c r="X119"/>
      <c r="Y119"/>
      <c r="Z119"/>
      <c r="AA119"/>
    </row>
    <row r="120" spans="1:27" ht="12.75">
      <c r="A120" s="222" t="s">
        <v>543</v>
      </c>
      <c r="B120" s="303">
        <v>842155</v>
      </c>
      <c r="C120" s="421" t="s">
        <v>687</v>
      </c>
      <c r="D120" s="726" t="s">
        <v>874</v>
      </c>
      <c r="E120" s="223">
        <v>3900</v>
      </c>
      <c r="F120" s="223">
        <f t="shared" si="1"/>
        <v>0</v>
      </c>
      <c r="G120" s="226"/>
      <c r="H120" s="226"/>
      <c r="I120" s="226"/>
      <c r="J120" s="226"/>
      <c r="K120" s="226"/>
      <c r="L120" s="226"/>
      <c r="M120" s="226"/>
      <c r="N120" s="226"/>
      <c r="O120" s="226"/>
      <c r="P120" s="727"/>
      <c r="Q120" s="720"/>
      <c r="R120" s="720"/>
      <c r="S120" s="720"/>
      <c r="T120" s="720"/>
      <c r="U120" s="720"/>
      <c r="V120" s="720"/>
      <c r="W120"/>
      <c r="X120"/>
      <c r="Y120"/>
      <c r="Z120"/>
      <c r="AA120"/>
    </row>
    <row r="121" spans="1:27" ht="12.75">
      <c r="A121" s="222"/>
      <c r="B121" s="303"/>
      <c r="C121" s="421"/>
      <c r="D121" s="726" t="s">
        <v>33</v>
      </c>
      <c r="E121" s="223">
        <v>3900</v>
      </c>
      <c r="F121" s="223">
        <f t="shared" si="1"/>
        <v>60</v>
      </c>
      <c r="G121" s="226"/>
      <c r="H121" s="226"/>
      <c r="I121" s="226">
        <v>60</v>
      </c>
      <c r="J121" s="226"/>
      <c r="K121" s="226"/>
      <c r="L121" s="226"/>
      <c r="M121" s="226"/>
      <c r="N121" s="226"/>
      <c r="O121" s="226"/>
      <c r="P121" s="727"/>
      <c r="Q121" s="720"/>
      <c r="R121" s="720"/>
      <c r="S121" s="720"/>
      <c r="T121" s="720"/>
      <c r="U121" s="720"/>
      <c r="V121" s="720"/>
      <c r="W121"/>
      <c r="X121"/>
      <c r="Y121"/>
      <c r="Z121"/>
      <c r="AA121"/>
    </row>
    <row r="122" spans="1:27" ht="12.75">
      <c r="A122" s="222"/>
      <c r="B122" s="303"/>
      <c r="C122" s="421"/>
      <c r="D122" s="726" t="s">
        <v>321</v>
      </c>
      <c r="E122" s="223">
        <v>4994</v>
      </c>
      <c r="F122" s="223">
        <f t="shared" si="1"/>
        <v>51</v>
      </c>
      <c r="G122" s="226"/>
      <c r="H122" s="226"/>
      <c r="I122" s="226">
        <v>51</v>
      </c>
      <c r="J122" s="226"/>
      <c r="K122" s="226"/>
      <c r="L122" s="226"/>
      <c r="M122" s="226"/>
      <c r="N122" s="226"/>
      <c r="O122" s="226"/>
      <c r="P122" s="727"/>
      <c r="Q122" s="720"/>
      <c r="R122" s="720"/>
      <c r="S122" s="720"/>
      <c r="T122" s="720"/>
      <c r="U122" s="720"/>
      <c r="V122" s="720"/>
      <c r="W122"/>
      <c r="X122"/>
      <c r="Y122"/>
      <c r="Z122"/>
      <c r="AA122"/>
    </row>
    <row r="123" spans="1:27" ht="12.75">
      <c r="A123" s="222" t="s">
        <v>543</v>
      </c>
      <c r="B123" s="303">
        <v>842155</v>
      </c>
      <c r="C123" s="421" t="s">
        <v>726</v>
      </c>
      <c r="D123" s="726" t="s">
        <v>874</v>
      </c>
      <c r="E123" s="223"/>
      <c r="F123" s="223">
        <f t="shared" si="1"/>
        <v>0</v>
      </c>
      <c r="G123" s="226"/>
      <c r="H123" s="226"/>
      <c r="I123" s="226"/>
      <c r="J123" s="226"/>
      <c r="K123" s="226"/>
      <c r="L123" s="226"/>
      <c r="M123" s="226"/>
      <c r="N123" s="226"/>
      <c r="O123" s="226"/>
      <c r="P123" s="727"/>
      <c r="Q123" s="720"/>
      <c r="R123" s="720"/>
      <c r="S123" s="720"/>
      <c r="T123" s="720"/>
      <c r="U123" s="720"/>
      <c r="V123" s="720"/>
      <c r="W123"/>
      <c r="X123"/>
      <c r="Y123"/>
      <c r="Z123"/>
      <c r="AA123"/>
    </row>
    <row r="124" spans="1:27" ht="12.75">
      <c r="A124" s="222"/>
      <c r="B124" s="303"/>
      <c r="C124" s="421"/>
      <c r="D124" s="726" t="s">
        <v>33</v>
      </c>
      <c r="E124" s="223"/>
      <c r="F124" s="223">
        <f t="shared" si="1"/>
        <v>0</v>
      </c>
      <c r="G124" s="226"/>
      <c r="H124" s="226"/>
      <c r="I124" s="226"/>
      <c r="J124" s="226"/>
      <c r="K124" s="226"/>
      <c r="L124" s="226"/>
      <c r="M124" s="226"/>
      <c r="N124" s="226"/>
      <c r="O124" s="226"/>
      <c r="P124" s="727"/>
      <c r="Q124" s="720"/>
      <c r="R124" s="720"/>
      <c r="S124" s="720"/>
      <c r="T124" s="720"/>
      <c r="U124" s="720"/>
      <c r="V124" s="720"/>
      <c r="W124"/>
      <c r="X124"/>
      <c r="Y124"/>
      <c r="Z124"/>
      <c r="AA124"/>
    </row>
    <row r="125" spans="1:27" ht="12.75">
      <c r="A125" s="222"/>
      <c r="B125" s="303"/>
      <c r="C125" s="421"/>
      <c r="D125" s="726" t="s">
        <v>321</v>
      </c>
      <c r="E125" s="223"/>
      <c r="F125" s="223">
        <f t="shared" si="1"/>
        <v>0</v>
      </c>
      <c r="G125" s="226"/>
      <c r="H125" s="226"/>
      <c r="I125" s="226"/>
      <c r="J125" s="226"/>
      <c r="K125" s="226"/>
      <c r="L125" s="226"/>
      <c r="M125" s="226"/>
      <c r="N125" s="226"/>
      <c r="O125" s="226"/>
      <c r="P125" s="727"/>
      <c r="Q125" s="720"/>
      <c r="R125" s="720"/>
      <c r="S125" s="720"/>
      <c r="T125" s="720"/>
      <c r="U125" s="720"/>
      <c r="V125" s="720"/>
      <c r="W125"/>
      <c r="X125"/>
      <c r="Y125"/>
      <c r="Z125"/>
      <c r="AA125"/>
    </row>
    <row r="126" spans="1:27" ht="12.75">
      <c r="A126" s="222" t="s">
        <v>543</v>
      </c>
      <c r="B126" s="303">
        <v>842155</v>
      </c>
      <c r="C126" s="421" t="s">
        <v>727</v>
      </c>
      <c r="D126" s="726" t="s">
        <v>874</v>
      </c>
      <c r="E126" s="223"/>
      <c r="F126" s="223">
        <f t="shared" si="1"/>
        <v>0</v>
      </c>
      <c r="G126" s="226"/>
      <c r="H126" s="226"/>
      <c r="I126" s="226"/>
      <c r="J126" s="226"/>
      <c r="K126" s="226"/>
      <c r="L126" s="226"/>
      <c r="M126" s="226"/>
      <c r="N126" s="226"/>
      <c r="O126" s="226"/>
      <c r="P126" s="727"/>
      <c r="Q126" s="720"/>
      <c r="R126" s="720"/>
      <c r="S126" s="720"/>
      <c r="T126" s="720"/>
      <c r="U126" s="720"/>
      <c r="V126" s="720"/>
      <c r="W126"/>
      <c r="X126"/>
      <c r="Y126"/>
      <c r="Z126"/>
      <c r="AA126"/>
    </row>
    <row r="127" spans="1:27" ht="12.75">
      <c r="A127" s="222"/>
      <c r="B127" s="303"/>
      <c r="C127" s="421"/>
      <c r="D127" s="726" t="s">
        <v>33</v>
      </c>
      <c r="E127" s="223">
        <v>3062</v>
      </c>
      <c r="F127" s="223">
        <f t="shared" si="1"/>
        <v>5462</v>
      </c>
      <c r="G127" s="226">
        <v>650</v>
      </c>
      <c r="H127" s="226">
        <v>160</v>
      </c>
      <c r="I127" s="226">
        <v>4652</v>
      </c>
      <c r="J127" s="226"/>
      <c r="K127" s="226"/>
      <c r="L127" s="226"/>
      <c r="M127" s="226"/>
      <c r="N127" s="226"/>
      <c r="O127" s="226"/>
      <c r="P127" s="727"/>
      <c r="Q127" s="720"/>
      <c r="R127" s="720"/>
      <c r="S127" s="720"/>
      <c r="T127" s="720"/>
      <c r="U127" s="720"/>
      <c r="V127" s="720"/>
      <c r="W127"/>
      <c r="X127"/>
      <c r="Y127"/>
      <c r="Z127"/>
      <c r="AA127"/>
    </row>
    <row r="128" spans="1:27" ht="12.75">
      <c r="A128" s="222"/>
      <c r="B128" s="303"/>
      <c r="C128" s="421"/>
      <c r="D128" s="726" t="s">
        <v>321</v>
      </c>
      <c r="E128" s="223">
        <v>3062</v>
      </c>
      <c r="F128" s="223">
        <f t="shared" si="1"/>
        <v>5446</v>
      </c>
      <c r="G128" s="226">
        <v>648</v>
      </c>
      <c r="H128" s="226">
        <v>157</v>
      </c>
      <c r="I128" s="226">
        <v>4641</v>
      </c>
      <c r="J128" s="226"/>
      <c r="K128" s="226"/>
      <c r="L128" s="226"/>
      <c r="M128" s="226"/>
      <c r="N128" s="226"/>
      <c r="O128" s="226"/>
      <c r="P128" s="727"/>
      <c r="Q128" s="720"/>
      <c r="R128" s="720"/>
      <c r="S128" s="720"/>
      <c r="T128" s="720"/>
      <c r="U128" s="720"/>
      <c r="V128" s="720"/>
      <c r="W128"/>
      <c r="X128"/>
      <c r="Y128"/>
      <c r="Z128"/>
      <c r="AA128"/>
    </row>
    <row r="129" spans="1:27" ht="12.75">
      <c r="A129" s="222" t="s">
        <v>543</v>
      </c>
      <c r="B129" s="303">
        <v>842155</v>
      </c>
      <c r="C129" s="421" t="s">
        <v>688</v>
      </c>
      <c r="D129" s="726" t="s">
        <v>873</v>
      </c>
      <c r="E129" s="223">
        <v>2600</v>
      </c>
      <c r="F129" s="223">
        <f t="shared" si="1"/>
        <v>5600</v>
      </c>
      <c r="G129" s="226"/>
      <c r="H129" s="226"/>
      <c r="I129" s="226">
        <v>5600</v>
      </c>
      <c r="J129" s="226"/>
      <c r="K129" s="226"/>
      <c r="L129" s="226"/>
      <c r="M129" s="226"/>
      <c r="N129" s="226"/>
      <c r="O129" s="226"/>
      <c r="P129" s="727"/>
      <c r="Q129" s="720"/>
      <c r="R129" s="720"/>
      <c r="S129" s="720"/>
      <c r="T129" s="720"/>
      <c r="U129" s="720"/>
      <c r="V129" s="720"/>
      <c r="W129"/>
      <c r="X129"/>
      <c r="Y129"/>
      <c r="Z129"/>
      <c r="AA129"/>
    </row>
    <row r="130" spans="1:27" ht="12.75">
      <c r="A130" s="222"/>
      <c r="B130" s="303"/>
      <c r="C130" s="421"/>
      <c r="D130" s="726" t="s">
        <v>33</v>
      </c>
      <c r="E130" s="223">
        <v>2600</v>
      </c>
      <c r="F130" s="223">
        <f t="shared" si="1"/>
        <v>5630</v>
      </c>
      <c r="G130" s="226"/>
      <c r="H130" s="226"/>
      <c r="I130" s="226">
        <v>5630</v>
      </c>
      <c r="J130" s="226"/>
      <c r="K130" s="226"/>
      <c r="L130" s="226"/>
      <c r="M130" s="226"/>
      <c r="N130" s="226"/>
      <c r="O130" s="226"/>
      <c r="P130" s="727"/>
      <c r="Q130" s="720"/>
      <c r="R130" s="720"/>
      <c r="S130" s="720"/>
      <c r="T130" s="720"/>
      <c r="U130" s="720"/>
      <c r="V130" s="720"/>
      <c r="W130"/>
      <c r="X130"/>
      <c r="Y130"/>
      <c r="Z130"/>
      <c r="AA130"/>
    </row>
    <row r="131" spans="1:27" ht="12.75">
      <c r="A131" s="222"/>
      <c r="B131" s="303"/>
      <c r="C131" s="421"/>
      <c r="D131" s="726" t="s">
        <v>321</v>
      </c>
      <c r="E131" s="223"/>
      <c r="F131" s="223">
        <f t="shared" si="1"/>
        <v>5624</v>
      </c>
      <c r="G131" s="226"/>
      <c r="H131" s="226"/>
      <c r="I131" s="226">
        <v>5624</v>
      </c>
      <c r="J131" s="226"/>
      <c r="K131" s="226"/>
      <c r="L131" s="226"/>
      <c r="M131" s="226"/>
      <c r="N131" s="226"/>
      <c r="O131" s="226"/>
      <c r="P131" s="727"/>
      <c r="Q131" s="720"/>
      <c r="R131" s="720"/>
      <c r="S131" s="720"/>
      <c r="T131" s="720"/>
      <c r="U131" s="720"/>
      <c r="V131" s="720"/>
      <c r="W131"/>
      <c r="X131"/>
      <c r="Y131"/>
      <c r="Z131"/>
      <c r="AA131"/>
    </row>
    <row r="132" spans="1:27" ht="12.75">
      <c r="A132" s="222" t="s">
        <v>542</v>
      </c>
      <c r="B132" s="303">
        <v>842421</v>
      </c>
      <c r="C132" s="421" t="s">
        <v>689</v>
      </c>
      <c r="D132" s="726" t="s">
        <v>874</v>
      </c>
      <c r="E132" s="223">
        <v>618</v>
      </c>
      <c r="F132" s="223">
        <f t="shared" si="1"/>
        <v>7648</v>
      </c>
      <c r="G132" s="226"/>
      <c r="H132" s="226"/>
      <c r="I132" s="226">
        <v>68</v>
      </c>
      <c r="J132" s="226">
        <v>2500</v>
      </c>
      <c r="K132" s="226"/>
      <c r="L132" s="226"/>
      <c r="M132" s="226">
        <v>5080</v>
      </c>
      <c r="N132" s="226"/>
      <c r="O132" s="226"/>
      <c r="P132" s="727"/>
      <c r="Q132" s="720"/>
      <c r="R132" s="720"/>
      <c r="S132" s="720"/>
      <c r="T132" s="720"/>
      <c r="U132" s="720"/>
      <c r="V132" s="720"/>
      <c r="W132"/>
      <c r="X132"/>
      <c r="Y132"/>
      <c r="Z132"/>
      <c r="AA132"/>
    </row>
    <row r="133" spans="1:27" ht="12.75">
      <c r="A133" s="222"/>
      <c r="B133" s="303"/>
      <c r="C133" s="421"/>
      <c r="D133" s="726" t="s">
        <v>33</v>
      </c>
      <c r="E133" s="223">
        <v>300</v>
      </c>
      <c r="F133" s="223">
        <f t="shared" si="1"/>
        <v>6712</v>
      </c>
      <c r="G133" s="226"/>
      <c r="H133" s="226"/>
      <c r="I133" s="226">
        <v>68</v>
      </c>
      <c r="J133" s="226">
        <v>2500</v>
      </c>
      <c r="K133" s="226"/>
      <c r="L133" s="226"/>
      <c r="M133" s="226">
        <v>4144</v>
      </c>
      <c r="N133" s="226"/>
      <c r="O133" s="226"/>
      <c r="P133" s="727"/>
      <c r="Q133" s="720"/>
      <c r="R133" s="720"/>
      <c r="S133" s="720"/>
      <c r="T133" s="720"/>
      <c r="U133" s="720"/>
      <c r="V133" s="720"/>
      <c r="W133"/>
      <c r="X133"/>
      <c r="Y133"/>
      <c r="Z133"/>
      <c r="AA133"/>
    </row>
    <row r="134" spans="1:27" ht="12.75">
      <c r="A134" s="222"/>
      <c r="B134" s="303"/>
      <c r="C134" s="421"/>
      <c r="D134" s="726" t="s">
        <v>321</v>
      </c>
      <c r="E134" s="223">
        <v>510</v>
      </c>
      <c r="F134" s="223">
        <f t="shared" si="1"/>
        <v>6620</v>
      </c>
      <c r="G134" s="226"/>
      <c r="H134" s="226"/>
      <c r="I134" s="226"/>
      <c r="J134" s="226">
        <v>2500</v>
      </c>
      <c r="K134" s="226"/>
      <c r="L134" s="226"/>
      <c r="M134" s="226">
        <v>4120</v>
      </c>
      <c r="N134" s="226"/>
      <c r="O134" s="226"/>
      <c r="P134" s="727"/>
      <c r="Q134" s="720"/>
      <c r="R134" s="720"/>
      <c r="S134" s="720"/>
      <c r="T134" s="720"/>
      <c r="U134" s="720"/>
      <c r="V134" s="720"/>
      <c r="W134"/>
      <c r="X134"/>
      <c r="Y134"/>
      <c r="Z134"/>
      <c r="AA134"/>
    </row>
    <row r="135" spans="1:27" ht="12.75">
      <c r="A135" s="222" t="s">
        <v>542</v>
      </c>
      <c r="B135" s="303">
        <v>842521</v>
      </c>
      <c r="C135" s="421" t="s">
        <v>690</v>
      </c>
      <c r="D135" s="726" t="s">
        <v>874</v>
      </c>
      <c r="E135" s="223"/>
      <c r="F135" s="223">
        <f t="shared" si="1"/>
        <v>2000</v>
      </c>
      <c r="G135" s="226"/>
      <c r="H135" s="226"/>
      <c r="I135" s="226">
        <v>2000</v>
      </c>
      <c r="J135" s="226"/>
      <c r="K135" s="226"/>
      <c r="L135" s="226"/>
      <c r="M135" s="226"/>
      <c r="N135" s="226"/>
      <c r="O135" s="226"/>
      <c r="P135" s="727"/>
      <c r="Q135" s="720"/>
      <c r="R135" s="720"/>
      <c r="S135" s="720"/>
      <c r="T135" s="720"/>
      <c r="U135" s="720"/>
      <c r="V135" s="720"/>
      <c r="W135"/>
      <c r="X135"/>
      <c r="Y135"/>
      <c r="Z135"/>
      <c r="AA135"/>
    </row>
    <row r="136" spans="1:27" ht="12.75">
      <c r="A136" s="222"/>
      <c r="B136" s="303"/>
      <c r="C136" s="421"/>
      <c r="D136" s="726" t="s">
        <v>33</v>
      </c>
      <c r="E136" s="223"/>
      <c r="F136" s="223">
        <f t="shared" si="1"/>
        <v>7750</v>
      </c>
      <c r="G136" s="226"/>
      <c r="H136" s="226"/>
      <c r="I136" s="226">
        <v>6250</v>
      </c>
      <c r="J136" s="226">
        <v>1500</v>
      </c>
      <c r="K136" s="226"/>
      <c r="L136" s="226"/>
      <c r="M136" s="226"/>
      <c r="N136" s="226"/>
      <c r="O136" s="226"/>
      <c r="P136" s="727"/>
      <c r="Q136" s="720"/>
      <c r="R136" s="720"/>
      <c r="S136" s="720"/>
      <c r="T136" s="720"/>
      <c r="U136" s="720"/>
      <c r="V136" s="720"/>
      <c r="W136"/>
      <c r="X136"/>
      <c r="Y136"/>
      <c r="Z136"/>
      <c r="AA136"/>
    </row>
    <row r="137" spans="1:27" ht="12.75">
      <c r="A137" s="222"/>
      <c r="B137" s="303"/>
      <c r="C137" s="421"/>
      <c r="D137" s="726" t="s">
        <v>321</v>
      </c>
      <c r="E137" s="223"/>
      <c r="F137" s="223">
        <f t="shared" si="1"/>
        <v>6204</v>
      </c>
      <c r="G137" s="226">
        <v>84</v>
      </c>
      <c r="H137" s="226">
        <v>86</v>
      </c>
      <c r="I137" s="226">
        <v>6034</v>
      </c>
      <c r="J137" s="226"/>
      <c r="K137" s="226"/>
      <c r="L137" s="226"/>
      <c r="M137" s="226"/>
      <c r="N137" s="226"/>
      <c r="O137" s="226"/>
      <c r="P137" s="727"/>
      <c r="Q137" s="720"/>
      <c r="R137" s="720"/>
      <c r="S137" s="720"/>
      <c r="T137" s="720"/>
      <c r="U137" s="720"/>
      <c r="V137" s="720"/>
      <c r="W137"/>
      <c r="X137"/>
      <c r="Y137"/>
      <c r="Z137"/>
      <c r="AA137"/>
    </row>
    <row r="138" spans="1:27" ht="12.75">
      <c r="A138" s="222" t="s">
        <v>542</v>
      </c>
      <c r="B138" s="303">
        <v>842532</v>
      </c>
      <c r="C138" s="421" t="s">
        <v>691</v>
      </c>
      <c r="D138" s="726" t="s">
        <v>874</v>
      </c>
      <c r="E138" s="223"/>
      <c r="F138" s="223">
        <f t="shared" si="1"/>
        <v>600</v>
      </c>
      <c r="G138" s="224"/>
      <c r="H138" s="224"/>
      <c r="I138" s="224">
        <v>600</v>
      </c>
      <c r="J138" s="224"/>
      <c r="K138" s="224"/>
      <c r="L138" s="224"/>
      <c r="M138" s="224"/>
      <c r="N138" s="224"/>
      <c r="O138" s="224"/>
      <c r="P138" s="727"/>
      <c r="Q138" s="720"/>
      <c r="R138" s="720"/>
      <c r="S138" s="720"/>
      <c r="T138" s="720"/>
      <c r="U138" s="720"/>
      <c r="V138" s="720"/>
      <c r="W138"/>
      <c r="X138"/>
      <c r="Y138"/>
      <c r="Z138"/>
      <c r="AA138"/>
    </row>
    <row r="139" spans="1:27" ht="12.75">
      <c r="A139" s="222"/>
      <c r="B139" s="303"/>
      <c r="C139" s="421"/>
      <c r="D139" s="726" t="s">
        <v>33</v>
      </c>
      <c r="E139" s="223"/>
      <c r="F139" s="223">
        <f t="shared" si="1"/>
        <v>600</v>
      </c>
      <c r="G139" s="224"/>
      <c r="H139" s="224"/>
      <c r="I139" s="224">
        <v>600</v>
      </c>
      <c r="J139" s="224"/>
      <c r="K139" s="224"/>
      <c r="L139" s="224"/>
      <c r="M139" s="224"/>
      <c r="N139" s="224"/>
      <c r="O139" s="224"/>
      <c r="P139" s="727"/>
      <c r="Q139" s="720"/>
      <c r="R139" s="720"/>
      <c r="S139" s="720"/>
      <c r="T139" s="720"/>
      <c r="U139" s="720"/>
      <c r="V139" s="720"/>
      <c r="W139"/>
      <c r="X139"/>
      <c r="Y139"/>
      <c r="Z139"/>
      <c r="AA139"/>
    </row>
    <row r="140" spans="1:27" ht="12.75">
      <c r="A140" s="222"/>
      <c r="B140" s="303"/>
      <c r="C140" s="421"/>
      <c r="D140" s="726" t="s">
        <v>321</v>
      </c>
      <c r="E140" s="223"/>
      <c r="F140" s="223">
        <f t="shared" si="1"/>
        <v>23</v>
      </c>
      <c r="G140" s="224"/>
      <c r="H140" s="224"/>
      <c r="I140" s="224">
        <v>23</v>
      </c>
      <c r="J140" s="224"/>
      <c r="K140" s="224"/>
      <c r="L140" s="224"/>
      <c r="M140" s="224"/>
      <c r="N140" s="224"/>
      <c r="O140" s="224"/>
      <c r="P140" s="727"/>
      <c r="Q140" s="720"/>
      <c r="R140" s="720"/>
      <c r="S140" s="720"/>
      <c r="T140" s="720"/>
      <c r="U140" s="720"/>
      <c r="V140" s="720"/>
      <c r="W140"/>
      <c r="X140"/>
      <c r="Y140"/>
      <c r="Z140"/>
      <c r="AA140"/>
    </row>
    <row r="141" spans="1:27" ht="12.75">
      <c r="A141" s="222" t="s">
        <v>542</v>
      </c>
      <c r="B141" s="303">
        <v>851011</v>
      </c>
      <c r="C141" s="421" t="s">
        <v>692</v>
      </c>
      <c r="D141" s="726" t="s">
        <v>874</v>
      </c>
      <c r="E141" s="223">
        <v>52290</v>
      </c>
      <c r="F141" s="223">
        <f aca="true" t="shared" si="2" ref="F141:F201">SUM(G141:P141)</f>
        <v>64290</v>
      </c>
      <c r="G141" s="226"/>
      <c r="H141" s="226"/>
      <c r="I141" s="226"/>
      <c r="J141" s="226">
        <v>12000</v>
      </c>
      <c r="K141" s="226"/>
      <c r="L141" s="226"/>
      <c r="M141" s="226"/>
      <c r="N141" s="226"/>
      <c r="O141" s="226">
        <v>52290</v>
      </c>
      <c r="P141" s="727"/>
      <c r="Q141" s="720"/>
      <c r="R141" s="720"/>
      <c r="S141" s="720"/>
      <c r="T141" s="720"/>
      <c r="U141" s="720"/>
      <c r="V141" s="720"/>
      <c r="W141"/>
      <c r="X141"/>
      <c r="Y141"/>
      <c r="Z141"/>
      <c r="AA141"/>
    </row>
    <row r="142" spans="1:27" ht="12.75">
      <c r="A142" s="222"/>
      <c r="B142" s="303"/>
      <c r="C142" s="421"/>
      <c r="D142" s="726" t="s">
        <v>33</v>
      </c>
      <c r="E142" s="223"/>
      <c r="F142" s="223">
        <f t="shared" si="2"/>
        <v>14341</v>
      </c>
      <c r="G142" s="226"/>
      <c r="H142" s="226"/>
      <c r="I142" s="226"/>
      <c r="J142" s="226">
        <v>14341</v>
      </c>
      <c r="K142" s="226"/>
      <c r="L142" s="226"/>
      <c r="M142" s="226"/>
      <c r="N142" s="226"/>
      <c r="O142" s="226"/>
      <c r="P142" s="727"/>
      <c r="Q142" s="720"/>
      <c r="R142" s="720"/>
      <c r="S142" s="720"/>
      <c r="T142" s="720"/>
      <c r="U142" s="720"/>
      <c r="V142" s="720"/>
      <c r="W142"/>
      <c r="X142"/>
      <c r="Y142"/>
      <c r="Z142"/>
      <c r="AA142"/>
    </row>
    <row r="143" spans="1:27" ht="13.5" thickBot="1">
      <c r="A143" s="722"/>
      <c r="B143" s="743"/>
      <c r="C143" s="744"/>
      <c r="D143" s="745" t="s">
        <v>321</v>
      </c>
      <c r="E143" s="746"/>
      <c r="F143" s="746">
        <f>SUM(G143:P143)</f>
        <v>14341</v>
      </c>
      <c r="G143" s="524"/>
      <c r="H143" s="524"/>
      <c r="I143" s="524"/>
      <c r="J143" s="524">
        <v>14341</v>
      </c>
      <c r="K143" s="524"/>
      <c r="L143" s="524"/>
      <c r="M143" s="524"/>
      <c r="N143" s="524"/>
      <c r="O143" s="524"/>
      <c r="P143" s="747"/>
      <c r="Q143" s="720"/>
      <c r="R143" s="720"/>
      <c r="S143" s="720"/>
      <c r="T143" s="720"/>
      <c r="U143" s="720"/>
      <c r="V143" s="720"/>
      <c r="W143"/>
      <c r="X143"/>
      <c r="Y143"/>
      <c r="Z143"/>
      <c r="AA143"/>
    </row>
    <row r="144" spans="1:27" ht="12.75">
      <c r="A144" s="723" t="s">
        <v>543</v>
      </c>
      <c r="B144" s="728">
        <v>852000</v>
      </c>
      <c r="C144" s="741" t="s">
        <v>693</v>
      </c>
      <c r="D144" s="742" t="s">
        <v>874</v>
      </c>
      <c r="E144" s="724"/>
      <c r="F144" s="724">
        <f t="shared" si="2"/>
        <v>57982</v>
      </c>
      <c r="G144" s="725"/>
      <c r="H144" s="725"/>
      <c r="I144" s="725">
        <v>1600</v>
      </c>
      <c r="J144" s="725">
        <v>56382</v>
      </c>
      <c r="K144" s="725"/>
      <c r="L144" s="725"/>
      <c r="M144" s="725"/>
      <c r="N144" s="725"/>
      <c r="O144" s="725"/>
      <c r="P144" s="729"/>
      <c r="Q144" s="720"/>
      <c r="R144" s="720"/>
      <c r="S144" s="720"/>
      <c r="T144" s="720"/>
      <c r="U144" s="720"/>
      <c r="V144" s="720"/>
      <c r="W144"/>
      <c r="X144"/>
      <c r="Y144"/>
      <c r="Z144"/>
      <c r="AA144"/>
    </row>
    <row r="145" spans="1:27" ht="12.75">
      <c r="A145" s="222"/>
      <c r="B145" s="303"/>
      <c r="C145" s="421"/>
      <c r="D145" s="726" t="s">
        <v>33</v>
      </c>
      <c r="E145" s="223"/>
      <c r="F145" s="223">
        <f t="shared" si="2"/>
        <v>57382</v>
      </c>
      <c r="G145" s="226"/>
      <c r="H145" s="226"/>
      <c r="I145" s="226">
        <v>1600</v>
      </c>
      <c r="J145" s="226">
        <v>55782</v>
      </c>
      <c r="K145" s="226"/>
      <c r="L145" s="226"/>
      <c r="M145" s="226"/>
      <c r="N145" s="226"/>
      <c r="O145" s="226"/>
      <c r="P145" s="727"/>
      <c r="Q145" s="720"/>
      <c r="R145" s="720"/>
      <c r="S145" s="720"/>
      <c r="T145" s="720"/>
      <c r="U145" s="720"/>
      <c r="V145" s="720"/>
      <c r="W145"/>
      <c r="X145"/>
      <c r="Y145"/>
      <c r="Z145"/>
      <c r="AA145"/>
    </row>
    <row r="146" spans="1:27" ht="12.75">
      <c r="A146" s="222"/>
      <c r="B146" s="303"/>
      <c r="C146" s="421"/>
      <c r="D146" s="726" t="s">
        <v>321</v>
      </c>
      <c r="E146" s="223"/>
      <c r="F146" s="223">
        <f t="shared" si="2"/>
        <v>57331</v>
      </c>
      <c r="G146" s="226"/>
      <c r="H146" s="226"/>
      <c r="I146" s="226">
        <v>1549</v>
      </c>
      <c r="J146" s="226">
        <v>55782</v>
      </c>
      <c r="K146" s="226"/>
      <c r="L146" s="226"/>
      <c r="M146" s="226"/>
      <c r="N146" s="226"/>
      <c r="O146" s="226"/>
      <c r="P146" s="727"/>
      <c r="Q146" s="720"/>
      <c r="R146" s="720"/>
      <c r="S146" s="720"/>
      <c r="T146" s="720"/>
      <c r="U146" s="720"/>
      <c r="V146" s="720"/>
      <c r="W146"/>
      <c r="X146"/>
      <c r="Y146"/>
      <c r="Z146"/>
      <c r="AA146"/>
    </row>
    <row r="147" spans="1:27" ht="12.75">
      <c r="A147" s="222" t="s">
        <v>543</v>
      </c>
      <c r="B147" s="303">
        <v>852000</v>
      </c>
      <c r="C147" s="421" t="s">
        <v>694</v>
      </c>
      <c r="D147" s="726" t="s">
        <v>874</v>
      </c>
      <c r="E147" s="223"/>
      <c r="F147" s="223">
        <f t="shared" si="2"/>
        <v>1862</v>
      </c>
      <c r="G147" s="224">
        <v>1862</v>
      </c>
      <c r="H147" s="224"/>
      <c r="I147" s="224"/>
      <c r="J147" s="224"/>
      <c r="K147" s="224"/>
      <c r="L147" s="224"/>
      <c r="M147" s="224"/>
      <c r="N147" s="224"/>
      <c r="O147" s="224"/>
      <c r="P147" s="727"/>
      <c r="Q147" s="720"/>
      <c r="R147" s="720"/>
      <c r="S147" s="720"/>
      <c r="T147" s="720"/>
      <c r="U147" s="720"/>
      <c r="V147" s="720"/>
      <c r="W147"/>
      <c r="X147"/>
      <c r="Y147"/>
      <c r="Z147"/>
      <c r="AA147"/>
    </row>
    <row r="148" spans="1:27" ht="12.75">
      <c r="A148" s="222"/>
      <c r="B148" s="303"/>
      <c r="C148" s="421"/>
      <c r="D148" s="726" t="s">
        <v>33</v>
      </c>
      <c r="E148" s="223"/>
      <c r="F148" s="223">
        <f t="shared" si="2"/>
        <v>1862</v>
      </c>
      <c r="G148" s="224">
        <v>1862</v>
      </c>
      <c r="H148" s="224"/>
      <c r="I148" s="224"/>
      <c r="J148" s="224"/>
      <c r="K148" s="224"/>
      <c r="L148" s="224"/>
      <c r="M148" s="224"/>
      <c r="N148" s="224"/>
      <c r="O148" s="224"/>
      <c r="P148" s="727"/>
      <c r="Q148" s="720"/>
      <c r="R148" s="720"/>
      <c r="S148" s="720"/>
      <c r="T148" s="720"/>
      <c r="U148" s="720"/>
      <c r="V148" s="720"/>
      <c r="W148"/>
      <c r="X148"/>
      <c r="Y148"/>
      <c r="Z148"/>
      <c r="AA148"/>
    </row>
    <row r="149" spans="1:27" ht="12.75">
      <c r="A149" s="222"/>
      <c r="B149" s="303"/>
      <c r="C149" s="421"/>
      <c r="D149" s="726" t="s">
        <v>321</v>
      </c>
      <c r="E149" s="223"/>
      <c r="F149" s="223">
        <f t="shared" si="2"/>
        <v>2188</v>
      </c>
      <c r="G149" s="224">
        <v>2188</v>
      </c>
      <c r="H149" s="224"/>
      <c r="I149" s="224"/>
      <c r="J149" s="224"/>
      <c r="K149" s="224"/>
      <c r="L149" s="224"/>
      <c r="M149" s="224"/>
      <c r="N149" s="224"/>
      <c r="O149" s="224"/>
      <c r="P149" s="727"/>
      <c r="Q149" s="720"/>
      <c r="R149" s="720"/>
      <c r="S149" s="720"/>
      <c r="T149" s="720"/>
      <c r="U149" s="720"/>
      <c r="V149" s="720"/>
      <c r="W149"/>
      <c r="X149"/>
      <c r="Y149"/>
      <c r="Z149"/>
      <c r="AA149"/>
    </row>
    <row r="150" spans="1:27" ht="12.75">
      <c r="A150" s="222" t="s">
        <v>543</v>
      </c>
      <c r="B150" s="303">
        <v>853000</v>
      </c>
      <c r="C150" s="421" t="s">
        <v>695</v>
      </c>
      <c r="D150" s="726" t="s">
        <v>874</v>
      </c>
      <c r="E150" s="223"/>
      <c r="F150" s="223">
        <f t="shared" si="2"/>
        <v>0</v>
      </c>
      <c r="G150" s="224"/>
      <c r="H150" s="224"/>
      <c r="I150" s="224"/>
      <c r="J150" s="224"/>
      <c r="K150" s="224"/>
      <c r="L150" s="224"/>
      <c r="M150" s="224"/>
      <c r="N150" s="224"/>
      <c r="O150" s="224"/>
      <c r="P150" s="727"/>
      <c r="Q150" s="720"/>
      <c r="R150" s="720"/>
      <c r="S150" s="720"/>
      <c r="T150" s="720"/>
      <c r="U150" s="720"/>
      <c r="V150" s="720"/>
      <c r="W150"/>
      <c r="X150"/>
      <c r="Y150"/>
      <c r="Z150"/>
      <c r="AA150"/>
    </row>
    <row r="151" spans="1:27" ht="12.75">
      <c r="A151" s="222"/>
      <c r="B151" s="303"/>
      <c r="C151" s="421"/>
      <c r="D151" s="726" t="s">
        <v>33</v>
      </c>
      <c r="E151" s="223"/>
      <c r="F151" s="223">
        <f t="shared" si="2"/>
        <v>32000</v>
      </c>
      <c r="G151" s="224"/>
      <c r="H151" s="224"/>
      <c r="I151" s="224"/>
      <c r="J151" s="224">
        <v>32000</v>
      </c>
      <c r="K151" s="224"/>
      <c r="L151" s="224"/>
      <c r="M151" s="224"/>
      <c r="N151" s="224"/>
      <c r="O151" s="224"/>
      <c r="P151" s="727"/>
      <c r="Q151" s="720"/>
      <c r="R151" s="720"/>
      <c r="S151" s="720"/>
      <c r="T151" s="720"/>
      <c r="U151" s="720"/>
      <c r="V151" s="720"/>
      <c r="W151"/>
      <c r="X151"/>
      <c r="Y151"/>
      <c r="Z151"/>
      <c r="AA151"/>
    </row>
    <row r="152" spans="1:27" ht="12.75">
      <c r="A152" s="222"/>
      <c r="B152" s="303"/>
      <c r="C152" s="421"/>
      <c r="D152" s="726" t="s">
        <v>321</v>
      </c>
      <c r="E152" s="223"/>
      <c r="F152" s="223">
        <f t="shared" si="2"/>
        <v>32000</v>
      </c>
      <c r="G152" s="224"/>
      <c r="H152" s="224"/>
      <c r="I152" s="224"/>
      <c r="J152" s="224">
        <v>32000</v>
      </c>
      <c r="K152" s="224"/>
      <c r="L152" s="224"/>
      <c r="M152" s="224"/>
      <c r="N152" s="224"/>
      <c r="O152" s="224"/>
      <c r="P152" s="727"/>
      <c r="Q152" s="720"/>
      <c r="R152" s="720"/>
      <c r="S152" s="720"/>
      <c r="T152" s="720"/>
      <c r="U152" s="720"/>
      <c r="V152" s="720"/>
      <c r="W152"/>
      <c r="X152"/>
      <c r="Y152"/>
      <c r="Z152"/>
      <c r="AA152"/>
    </row>
    <row r="153" spans="1:27" ht="12.75">
      <c r="A153" s="222" t="s">
        <v>543</v>
      </c>
      <c r="B153" s="303">
        <v>855100</v>
      </c>
      <c r="C153" s="421" t="s">
        <v>696</v>
      </c>
      <c r="D153" s="726" t="s">
        <v>874</v>
      </c>
      <c r="E153" s="223">
        <v>38803</v>
      </c>
      <c r="F153" s="223">
        <f t="shared" si="2"/>
        <v>38803</v>
      </c>
      <c r="G153" s="226"/>
      <c r="H153" s="226"/>
      <c r="I153" s="226">
        <v>38803</v>
      </c>
      <c r="J153" s="226"/>
      <c r="K153" s="226"/>
      <c r="L153" s="226"/>
      <c r="M153" s="226"/>
      <c r="N153" s="227"/>
      <c r="O153" s="226"/>
      <c r="P153" s="727"/>
      <c r="Q153" s="720"/>
      <c r="R153" s="720"/>
      <c r="S153" s="720"/>
      <c r="T153" s="720"/>
      <c r="U153" s="720"/>
      <c r="V153" s="720"/>
      <c r="W153"/>
      <c r="X153"/>
      <c r="Y153"/>
      <c r="Z153"/>
      <c r="AA153"/>
    </row>
    <row r="154" spans="1:27" ht="12.75">
      <c r="A154" s="222"/>
      <c r="B154" s="303"/>
      <c r="C154" s="421"/>
      <c r="D154" s="726" t="s">
        <v>33</v>
      </c>
      <c r="E154" s="223">
        <v>45193</v>
      </c>
      <c r="F154" s="223">
        <f t="shared" si="2"/>
        <v>42703</v>
      </c>
      <c r="G154" s="226"/>
      <c r="H154" s="226"/>
      <c r="I154" s="226">
        <v>42703</v>
      </c>
      <c r="J154" s="226"/>
      <c r="K154" s="226"/>
      <c r="L154" s="226"/>
      <c r="M154" s="226"/>
      <c r="N154" s="227"/>
      <c r="O154" s="226"/>
      <c r="P154" s="727"/>
      <c r="Q154" s="720"/>
      <c r="R154" s="720"/>
      <c r="S154" s="720"/>
      <c r="T154" s="720"/>
      <c r="U154" s="720"/>
      <c r="V154" s="720"/>
      <c r="W154"/>
      <c r="X154"/>
      <c r="Y154"/>
      <c r="Z154"/>
      <c r="AA154"/>
    </row>
    <row r="155" spans="1:27" ht="12.75">
      <c r="A155" s="222"/>
      <c r="B155" s="303"/>
      <c r="C155" s="421"/>
      <c r="D155" s="726" t="s">
        <v>321</v>
      </c>
      <c r="E155" s="223">
        <v>45195</v>
      </c>
      <c r="F155" s="223">
        <f t="shared" si="2"/>
        <v>42652</v>
      </c>
      <c r="G155" s="226"/>
      <c r="H155" s="226"/>
      <c r="I155" s="226">
        <v>42652</v>
      </c>
      <c r="J155" s="226"/>
      <c r="K155" s="226"/>
      <c r="L155" s="226"/>
      <c r="M155" s="226"/>
      <c r="N155" s="227"/>
      <c r="O155" s="226"/>
      <c r="P155" s="727"/>
      <c r="Q155" s="720"/>
      <c r="R155" s="720"/>
      <c r="S155" s="720"/>
      <c r="T155" s="720"/>
      <c r="U155" s="720"/>
      <c r="V155" s="720"/>
      <c r="W155"/>
      <c r="X155"/>
      <c r="Y155"/>
      <c r="Z155"/>
      <c r="AA155"/>
    </row>
    <row r="156" spans="1:27" ht="12.75">
      <c r="A156" s="222" t="s">
        <v>543</v>
      </c>
      <c r="B156" s="303">
        <v>856020</v>
      </c>
      <c r="C156" s="421" t="s">
        <v>697</v>
      </c>
      <c r="D156" s="726" t="s">
        <v>874</v>
      </c>
      <c r="E156" s="223"/>
      <c r="F156" s="223">
        <f t="shared" si="2"/>
        <v>2500</v>
      </c>
      <c r="G156" s="226"/>
      <c r="H156" s="226"/>
      <c r="I156" s="226">
        <v>2500</v>
      </c>
      <c r="J156" s="226"/>
      <c r="K156" s="226"/>
      <c r="L156" s="226"/>
      <c r="M156" s="226"/>
      <c r="N156" s="227"/>
      <c r="O156" s="226"/>
      <c r="P156" s="727"/>
      <c r="Q156" s="720"/>
      <c r="R156" s="720"/>
      <c r="S156" s="720"/>
      <c r="T156" s="720"/>
      <c r="U156" s="720"/>
      <c r="V156" s="720"/>
      <c r="W156"/>
      <c r="X156"/>
      <c r="Y156"/>
      <c r="Z156"/>
      <c r="AA156"/>
    </row>
    <row r="157" spans="1:27" ht="12.75">
      <c r="A157" s="222"/>
      <c r="B157" s="303"/>
      <c r="C157" s="421"/>
      <c r="D157" s="726" t="s">
        <v>33</v>
      </c>
      <c r="E157" s="223">
        <v>8412</v>
      </c>
      <c r="F157" s="223">
        <f t="shared" si="2"/>
        <v>3100</v>
      </c>
      <c r="G157" s="226">
        <v>1083</v>
      </c>
      <c r="H157" s="226">
        <v>292</v>
      </c>
      <c r="I157" s="226">
        <v>1725</v>
      </c>
      <c r="J157" s="226"/>
      <c r="K157" s="226"/>
      <c r="L157" s="226"/>
      <c r="M157" s="226"/>
      <c r="N157" s="227"/>
      <c r="O157" s="226"/>
      <c r="P157" s="727"/>
      <c r="Q157" s="720"/>
      <c r="R157" s="720"/>
      <c r="S157" s="720"/>
      <c r="T157" s="720"/>
      <c r="U157" s="720"/>
      <c r="V157" s="720"/>
      <c r="W157"/>
      <c r="X157"/>
      <c r="Y157"/>
      <c r="Z157"/>
      <c r="AA157"/>
    </row>
    <row r="158" spans="1:27" ht="12.75">
      <c r="A158" s="222"/>
      <c r="B158" s="303"/>
      <c r="C158" s="421"/>
      <c r="D158" s="726" t="s">
        <v>321</v>
      </c>
      <c r="E158" s="223">
        <v>8413</v>
      </c>
      <c r="F158" s="223">
        <f t="shared" si="2"/>
        <v>1976</v>
      </c>
      <c r="G158" s="226">
        <v>425</v>
      </c>
      <c r="H158" s="226">
        <v>104</v>
      </c>
      <c r="I158" s="226">
        <v>1447</v>
      </c>
      <c r="J158" s="226"/>
      <c r="K158" s="226"/>
      <c r="L158" s="226"/>
      <c r="M158" s="226"/>
      <c r="N158" s="227"/>
      <c r="O158" s="226"/>
      <c r="P158" s="727"/>
      <c r="Q158" s="720"/>
      <c r="R158" s="720"/>
      <c r="S158" s="720"/>
      <c r="T158" s="720"/>
      <c r="U158" s="720"/>
      <c r="V158" s="720"/>
      <c r="W158"/>
      <c r="X158"/>
      <c r="Y158"/>
      <c r="Z158"/>
      <c r="AA158"/>
    </row>
    <row r="159" spans="1:27" ht="12.75">
      <c r="A159" s="222" t="s">
        <v>543</v>
      </c>
      <c r="B159" s="303">
        <v>860000</v>
      </c>
      <c r="C159" s="421" t="s">
        <v>698</v>
      </c>
      <c r="D159" s="726" t="s">
        <v>874</v>
      </c>
      <c r="E159" s="223"/>
      <c r="F159" s="223">
        <f t="shared" si="2"/>
        <v>0</v>
      </c>
      <c r="G159" s="226"/>
      <c r="H159" s="226"/>
      <c r="I159" s="226"/>
      <c r="J159" s="226"/>
      <c r="K159" s="226"/>
      <c r="L159" s="226"/>
      <c r="M159" s="226"/>
      <c r="N159" s="227"/>
      <c r="O159" s="226"/>
      <c r="P159" s="727"/>
      <c r="Q159" s="720"/>
      <c r="R159" s="720"/>
      <c r="S159" s="720"/>
      <c r="T159" s="720"/>
      <c r="U159" s="720"/>
      <c r="V159" s="720"/>
      <c r="W159"/>
      <c r="X159"/>
      <c r="Y159"/>
      <c r="Z159"/>
      <c r="AA159"/>
    </row>
    <row r="160" spans="1:27" ht="12.75">
      <c r="A160" s="222"/>
      <c r="B160" s="303"/>
      <c r="C160" s="421"/>
      <c r="D160" s="726" t="s">
        <v>33</v>
      </c>
      <c r="E160" s="223"/>
      <c r="F160" s="223">
        <f t="shared" si="2"/>
        <v>0</v>
      </c>
      <c r="G160" s="226"/>
      <c r="H160" s="226"/>
      <c r="I160" s="226"/>
      <c r="J160" s="226"/>
      <c r="K160" s="226"/>
      <c r="L160" s="226"/>
      <c r="M160" s="226"/>
      <c r="N160" s="227"/>
      <c r="O160" s="226"/>
      <c r="P160" s="727"/>
      <c r="Q160" s="720"/>
      <c r="R160" s="720"/>
      <c r="S160" s="720"/>
      <c r="T160" s="720"/>
      <c r="U160" s="720"/>
      <c r="V160" s="720"/>
      <c r="W160"/>
      <c r="X160"/>
      <c r="Y160"/>
      <c r="Z160"/>
      <c r="AA160"/>
    </row>
    <row r="161" spans="1:27" ht="12.75">
      <c r="A161" s="222"/>
      <c r="B161" s="303"/>
      <c r="C161" s="421"/>
      <c r="D161" s="726" t="s">
        <v>321</v>
      </c>
      <c r="E161" s="223"/>
      <c r="F161" s="223">
        <f t="shared" si="2"/>
        <v>0</v>
      </c>
      <c r="G161" s="226"/>
      <c r="H161" s="226"/>
      <c r="I161" s="226"/>
      <c r="J161" s="226"/>
      <c r="K161" s="226"/>
      <c r="L161" s="226"/>
      <c r="M161" s="226"/>
      <c r="N161" s="227"/>
      <c r="O161" s="226"/>
      <c r="P161" s="727"/>
      <c r="Q161" s="720"/>
      <c r="R161" s="720"/>
      <c r="S161" s="720"/>
      <c r="T161" s="720"/>
      <c r="U161" s="720"/>
      <c r="V161" s="720"/>
      <c r="W161"/>
      <c r="X161"/>
      <c r="Y161"/>
      <c r="Z161"/>
      <c r="AA161"/>
    </row>
    <row r="162" spans="1:27" ht="12.75">
      <c r="A162" s="222" t="s">
        <v>542</v>
      </c>
      <c r="B162" s="303">
        <v>862000</v>
      </c>
      <c r="C162" s="421" t="s">
        <v>699</v>
      </c>
      <c r="D162" s="726" t="s">
        <v>874</v>
      </c>
      <c r="E162" s="223">
        <v>2100</v>
      </c>
      <c r="F162" s="223">
        <f t="shared" si="2"/>
        <v>7630</v>
      </c>
      <c r="G162" s="226"/>
      <c r="H162" s="226"/>
      <c r="I162" s="226"/>
      <c r="J162" s="226">
        <v>7630</v>
      </c>
      <c r="K162" s="226"/>
      <c r="L162" s="226"/>
      <c r="M162" s="226"/>
      <c r="N162" s="226"/>
      <c r="O162" s="226"/>
      <c r="P162" s="727"/>
      <c r="Q162" s="720"/>
      <c r="R162" s="720"/>
      <c r="S162" s="720"/>
      <c r="T162" s="720"/>
      <c r="U162" s="720"/>
      <c r="V162" s="720"/>
      <c r="W162"/>
      <c r="X162"/>
      <c r="Y162"/>
      <c r="Z162"/>
      <c r="AA162"/>
    </row>
    <row r="163" spans="1:27" ht="12.75">
      <c r="A163" s="222"/>
      <c r="B163" s="303"/>
      <c r="C163" s="421"/>
      <c r="D163" s="726" t="s">
        <v>33</v>
      </c>
      <c r="E163" s="223">
        <v>3665</v>
      </c>
      <c r="F163" s="223">
        <f t="shared" si="2"/>
        <v>10844</v>
      </c>
      <c r="G163" s="226"/>
      <c r="H163" s="226"/>
      <c r="I163" s="226">
        <v>1897</v>
      </c>
      <c r="J163" s="226">
        <v>8947</v>
      </c>
      <c r="K163" s="226"/>
      <c r="L163" s="226"/>
      <c r="M163" s="226"/>
      <c r="N163" s="226"/>
      <c r="O163" s="226"/>
      <c r="P163" s="727"/>
      <c r="Q163" s="720"/>
      <c r="R163" s="720"/>
      <c r="S163" s="720"/>
      <c r="T163" s="720"/>
      <c r="U163" s="720"/>
      <c r="V163" s="720"/>
      <c r="W163"/>
      <c r="X163"/>
      <c r="Y163"/>
      <c r="Z163"/>
      <c r="AA163"/>
    </row>
    <row r="164" spans="1:27" ht="12.75">
      <c r="A164" s="222"/>
      <c r="B164" s="303"/>
      <c r="C164" s="421"/>
      <c r="D164" s="726" t="s">
        <v>321</v>
      </c>
      <c r="E164" s="223">
        <v>2887</v>
      </c>
      <c r="F164" s="223">
        <f t="shared" si="2"/>
        <v>8880</v>
      </c>
      <c r="G164" s="226"/>
      <c r="H164" s="226"/>
      <c r="I164" s="226">
        <v>349</v>
      </c>
      <c r="J164" s="226">
        <v>8531</v>
      </c>
      <c r="K164" s="226"/>
      <c r="L164" s="226"/>
      <c r="M164" s="226"/>
      <c r="N164" s="226"/>
      <c r="O164" s="226"/>
      <c r="P164" s="727"/>
      <c r="Q164" s="720"/>
      <c r="R164" s="720"/>
      <c r="S164" s="720"/>
      <c r="T164" s="720"/>
      <c r="U164" s="720"/>
      <c r="V164" s="720"/>
      <c r="W164"/>
      <c r="X164"/>
      <c r="Y164"/>
      <c r="Z164"/>
      <c r="AA164"/>
    </row>
    <row r="165" spans="1:27" ht="12.75">
      <c r="A165" s="222" t="s">
        <v>543</v>
      </c>
      <c r="B165" s="303">
        <v>870000</v>
      </c>
      <c r="C165" s="421" t="s">
        <v>700</v>
      </c>
      <c r="D165" s="726" t="s">
        <v>874</v>
      </c>
      <c r="E165" s="223"/>
      <c r="F165" s="223">
        <f t="shared" si="2"/>
        <v>0</v>
      </c>
      <c r="G165" s="226"/>
      <c r="H165" s="226"/>
      <c r="I165" s="226"/>
      <c r="J165" s="226"/>
      <c r="K165" s="226"/>
      <c r="L165" s="226"/>
      <c r="M165" s="226"/>
      <c r="N165" s="226"/>
      <c r="O165" s="226"/>
      <c r="P165" s="727"/>
      <c r="Q165" s="720"/>
      <c r="R165" s="720"/>
      <c r="S165" s="720"/>
      <c r="T165" s="720"/>
      <c r="U165" s="720"/>
      <c r="V165" s="720"/>
      <c r="W165"/>
      <c r="X165"/>
      <c r="Y165"/>
      <c r="Z165"/>
      <c r="AA165"/>
    </row>
    <row r="166" spans="1:27" ht="12.75">
      <c r="A166" s="222"/>
      <c r="B166" s="303"/>
      <c r="C166" s="421"/>
      <c r="D166" s="726" t="s">
        <v>33</v>
      </c>
      <c r="E166" s="223"/>
      <c r="F166" s="223">
        <f t="shared" si="2"/>
        <v>82546</v>
      </c>
      <c r="G166" s="226"/>
      <c r="H166" s="226"/>
      <c r="I166" s="226"/>
      <c r="J166" s="226">
        <v>82546</v>
      </c>
      <c r="K166" s="226"/>
      <c r="L166" s="226"/>
      <c r="M166" s="226"/>
      <c r="N166" s="226"/>
      <c r="O166" s="226"/>
      <c r="P166" s="727"/>
      <c r="Q166" s="720"/>
      <c r="R166" s="720"/>
      <c r="S166" s="720"/>
      <c r="T166" s="720"/>
      <c r="U166" s="720"/>
      <c r="V166" s="720"/>
      <c r="W166"/>
      <c r="X166"/>
      <c r="Y166"/>
      <c r="Z166"/>
      <c r="AA166"/>
    </row>
    <row r="167" spans="1:27" ht="12.75">
      <c r="A167" s="222"/>
      <c r="B167" s="303"/>
      <c r="C167" s="421"/>
      <c r="D167" s="726" t="s">
        <v>321</v>
      </c>
      <c r="E167" s="223"/>
      <c r="F167" s="223">
        <f t="shared" si="2"/>
        <v>83710</v>
      </c>
      <c r="G167" s="226"/>
      <c r="H167" s="226"/>
      <c r="I167" s="226">
        <v>99</v>
      </c>
      <c r="J167" s="226">
        <v>83611</v>
      </c>
      <c r="K167" s="226"/>
      <c r="L167" s="226"/>
      <c r="M167" s="226"/>
      <c r="N167" s="226"/>
      <c r="O167" s="226"/>
      <c r="P167" s="727"/>
      <c r="Q167" s="720"/>
      <c r="R167" s="720"/>
      <c r="S167" s="720"/>
      <c r="T167" s="720"/>
      <c r="U167" s="720"/>
      <c r="V167" s="720"/>
      <c r="W167"/>
      <c r="X167"/>
      <c r="Y167"/>
      <c r="Z167"/>
      <c r="AA167"/>
    </row>
    <row r="168" spans="1:27" ht="12.75">
      <c r="A168" s="222" t="s">
        <v>542</v>
      </c>
      <c r="B168" s="303">
        <v>880000</v>
      </c>
      <c r="C168" s="421" t="s">
        <v>701</v>
      </c>
      <c r="D168" s="726" t="s">
        <v>874</v>
      </c>
      <c r="E168" s="223"/>
      <c r="F168" s="223">
        <f t="shared" si="2"/>
        <v>38320</v>
      </c>
      <c r="G168" s="226"/>
      <c r="H168" s="226"/>
      <c r="I168" s="226"/>
      <c r="J168" s="226">
        <v>10320</v>
      </c>
      <c r="K168" s="226">
        <v>28000</v>
      </c>
      <c r="L168" s="226"/>
      <c r="M168" s="226"/>
      <c r="N168" s="227"/>
      <c r="O168" s="226"/>
      <c r="P168" s="727"/>
      <c r="Q168" s="720"/>
      <c r="R168" s="720"/>
      <c r="S168" s="720"/>
      <c r="T168" s="720"/>
      <c r="U168" s="720"/>
      <c r="V168" s="720"/>
      <c r="W168"/>
      <c r="X168"/>
      <c r="Y168"/>
      <c r="Z168"/>
      <c r="AA168"/>
    </row>
    <row r="169" spans="1:27" ht="12.75">
      <c r="A169" s="222"/>
      <c r="B169" s="303"/>
      <c r="C169" s="421"/>
      <c r="D169" s="726" t="s">
        <v>33</v>
      </c>
      <c r="E169" s="223"/>
      <c r="F169" s="223">
        <f t="shared" si="2"/>
        <v>126287</v>
      </c>
      <c r="G169" s="226"/>
      <c r="H169" s="226"/>
      <c r="I169" s="226">
        <v>182</v>
      </c>
      <c r="J169" s="226">
        <v>97399</v>
      </c>
      <c r="K169" s="226">
        <v>28706</v>
      </c>
      <c r="L169" s="226"/>
      <c r="M169" s="226"/>
      <c r="N169" s="227"/>
      <c r="O169" s="226"/>
      <c r="P169" s="727"/>
      <c r="Q169" s="720"/>
      <c r="R169" s="720"/>
      <c r="S169" s="720"/>
      <c r="T169" s="720"/>
      <c r="U169" s="720"/>
      <c r="V169" s="720"/>
      <c r="W169"/>
      <c r="X169"/>
      <c r="Y169"/>
      <c r="Z169"/>
      <c r="AA169"/>
    </row>
    <row r="170" spans="1:27" ht="12.75">
      <c r="A170" s="222"/>
      <c r="B170" s="303"/>
      <c r="C170" s="421"/>
      <c r="D170" s="726" t="s">
        <v>321</v>
      </c>
      <c r="E170" s="223"/>
      <c r="F170" s="223">
        <f t="shared" si="2"/>
        <v>124261</v>
      </c>
      <c r="G170" s="226"/>
      <c r="H170" s="226"/>
      <c r="I170" s="226">
        <v>182</v>
      </c>
      <c r="J170" s="226">
        <v>95403</v>
      </c>
      <c r="K170" s="226">
        <v>28676</v>
      </c>
      <c r="L170" s="226"/>
      <c r="M170" s="226"/>
      <c r="N170" s="227"/>
      <c r="O170" s="226"/>
      <c r="P170" s="727"/>
      <c r="Q170" s="720"/>
      <c r="R170" s="720"/>
      <c r="S170" s="720"/>
      <c r="T170" s="720"/>
      <c r="U170" s="720"/>
      <c r="V170" s="720"/>
      <c r="W170"/>
      <c r="X170"/>
      <c r="Y170"/>
      <c r="Z170"/>
      <c r="AA170"/>
    </row>
    <row r="171" spans="1:27" ht="12.75">
      <c r="A171" s="222" t="s">
        <v>542</v>
      </c>
      <c r="B171" s="303">
        <v>882111</v>
      </c>
      <c r="C171" s="421" t="s">
        <v>562</v>
      </c>
      <c r="D171" s="726" t="s">
        <v>874</v>
      </c>
      <c r="E171" s="223">
        <v>50000</v>
      </c>
      <c r="F171" s="223">
        <f t="shared" si="2"/>
        <v>0</v>
      </c>
      <c r="G171" s="226"/>
      <c r="H171" s="226"/>
      <c r="I171" s="226"/>
      <c r="J171" s="226"/>
      <c r="K171" s="226"/>
      <c r="L171" s="226"/>
      <c r="M171" s="226"/>
      <c r="N171" s="227"/>
      <c r="O171" s="226"/>
      <c r="P171" s="727"/>
      <c r="Q171" s="720"/>
      <c r="R171" s="720"/>
      <c r="S171" s="720"/>
      <c r="T171" s="720"/>
      <c r="U171" s="720"/>
      <c r="V171" s="720"/>
      <c r="W171"/>
      <c r="X171"/>
      <c r="Y171"/>
      <c r="Z171"/>
      <c r="AA171"/>
    </row>
    <row r="172" spans="1:27" ht="12.75">
      <c r="A172" s="222"/>
      <c r="B172" s="303"/>
      <c r="C172" s="421"/>
      <c r="D172" s="726" t="s">
        <v>33</v>
      </c>
      <c r="E172" s="223">
        <v>59125</v>
      </c>
      <c r="F172" s="223">
        <f t="shared" si="2"/>
        <v>0</v>
      </c>
      <c r="G172" s="226"/>
      <c r="H172" s="226"/>
      <c r="I172" s="226"/>
      <c r="J172" s="226"/>
      <c r="K172" s="226"/>
      <c r="L172" s="226"/>
      <c r="M172" s="226"/>
      <c r="N172" s="227"/>
      <c r="O172" s="226"/>
      <c r="P172" s="727"/>
      <c r="Q172" s="720"/>
      <c r="R172" s="720"/>
      <c r="S172" s="720"/>
      <c r="T172" s="720"/>
      <c r="U172" s="720"/>
      <c r="V172" s="720"/>
      <c r="W172"/>
      <c r="X172"/>
      <c r="Y172"/>
      <c r="Z172"/>
      <c r="AA172"/>
    </row>
    <row r="173" spans="1:27" ht="12.75">
      <c r="A173" s="222"/>
      <c r="B173" s="303"/>
      <c r="C173" s="421"/>
      <c r="D173" s="726" t="s">
        <v>321</v>
      </c>
      <c r="E173" s="223">
        <v>59125</v>
      </c>
      <c r="F173" s="223">
        <f t="shared" si="2"/>
        <v>0</v>
      </c>
      <c r="G173" s="226"/>
      <c r="H173" s="226"/>
      <c r="I173" s="226"/>
      <c r="J173" s="226"/>
      <c r="K173" s="226"/>
      <c r="L173" s="226"/>
      <c r="M173" s="226"/>
      <c r="N173" s="227"/>
      <c r="O173" s="226"/>
      <c r="P173" s="727"/>
      <c r="Q173" s="720"/>
      <c r="R173" s="720"/>
      <c r="S173" s="720"/>
      <c r="T173" s="720"/>
      <c r="U173" s="720"/>
      <c r="V173" s="720"/>
      <c r="W173"/>
      <c r="X173"/>
      <c r="Y173"/>
      <c r="Z173"/>
      <c r="AA173"/>
    </row>
    <row r="174" spans="1:27" ht="12.75">
      <c r="A174" s="222" t="s">
        <v>542</v>
      </c>
      <c r="B174" s="303">
        <v>882112</v>
      </c>
      <c r="C174" s="421" t="s">
        <v>379</v>
      </c>
      <c r="D174" s="726" t="s">
        <v>874</v>
      </c>
      <c r="E174" s="223">
        <v>36</v>
      </c>
      <c r="F174" s="223">
        <f t="shared" si="2"/>
        <v>0</v>
      </c>
      <c r="G174" s="226"/>
      <c r="H174" s="226"/>
      <c r="I174" s="226"/>
      <c r="J174" s="226"/>
      <c r="K174" s="226"/>
      <c r="L174" s="226"/>
      <c r="M174" s="226"/>
      <c r="N174" s="226"/>
      <c r="O174" s="226"/>
      <c r="P174" s="727"/>
      <c r="Q174" s="720"/>
      <c r="R174" s="720"/>
      <c r="S174" s="720"/>
      <c r="T174" s="720"/>
      <c r="U174" s="720"/>
      <c r="V174" s="720"/>
      <c r="W174"/>
      <c r="X174"/>
      <c r="Y174"/>
      <c r="Z174"/>
      <c r="AA174"/>
    </row>
    <row r="175" spans="1:27" ht="12.75">
      <c r="A175" s="222"/>
      <c r="B175" s="303"/>
      <c r="C175" s="421"/>
      <c r="D175" s="726" t="s">
        <v>33</v>
      </c>
      <c r="E175" s="223">
        <v>32</v>
      </c>
      <c r="F175" s="223">
        <f t="shared" si="2"/>
        <v>0</v>
      </c>
      <c r="G175" s="226"/>
      <c r="H175" s="226"/>
      <c r="I175" s="226"/>
      <c r="J175" s="226"/>
      <c r="K175" s="226"/>
      <c r="L175" s="226"/>
      <c r="M175" s="226"/>
      <c r="N175" s="226"/>
      <c r="O175" s="226"/>
      <c r="P175" s="727"/>
      <c r="Q175" s="720"/>
      <c r="R175" s="720"/>
      <c r="S175" s="720"/>
      <c r="T175" s="720"/>
      <c r="U175" s="720"/>
      <c r="V175" s="720"/>
      <c r="W175"/>
      <c r="X175"/>
      <c r="Y175"/>
      <c r="Z175"/>
      <c r="AA175"/>
    </row>
    <row r="176" spans="1:27" ht="12.75">
      <c r="A176" s="222"/>
      <c r="B176" s="303"/>
      <c r="C176" s="421"/>
      <c r="D176" s="726" t="s">
        <v>321</v>
      </c>
      <c r="E176" s="223">
        <v>32</v>
      </c>
      <c r="F176" s="223">
        <f t="shared" si="2"/>
        <v>0</v>
      </c>
      <c r="G176" s="226"/>
      <c r="H176" s="226"/>
      <c r="I176" s="226"/>
      <c r="J176" s="226"/>
      <c r="K176" s="226"/>
      <c r="L176" s="226"/>
      <c r="M176" s="226"/>
      <c r="N176" s="226"/>
      <c r="O176" s="226"/>
      <c r="P176" s="727"/>
      <c r="Q176" s="720"/>
      <c r="R176" s="720"/>
      <c r="S176" s="720"/>
      <c r="T176" s="720"/>
      <c r="U176" s="720"/>
      <c r="V176" s="720"/>
      <c r="W176"/>
      <c r="X176"/>
      <c r="Y176"/>
      <c r="Z176"/>
      <c r="AA176"/>
    </row>
    <row r="177" spans="1:27" ht="12.75">
      <c r="A177" s="222" t="s">
        <v>542</v>
      </c>
      <c r="B177" s="303">
        <v>882113</v>
      </c>
      <c r="C177" s="421" t="s">
        <v>380</v>
      </c>
      <c r="D177" s="726" t="s">
        <v>874</v>
      </c>
      <c r="E177" s="223">
        <v>18000</v>
      </c>
      <c r="F177" s="223">
        <f t="shared" si="2"/>
        <v>0</v>
      </c>
      <c r="G177" s="226"/>
      <c r="H177" s="226"/>
      <c r="I177" s="226"/>
      <c r="J177" s="226"/>
      <c r="K177" s="226"/>
      <c r="L177" s="226"/>
      <c r="M177" s="226"/>
      <c r="N177" s="226"/>
      <c r="O177" s="226"/>
      <c r="P177" s="727"/>
      <c r="Q177" s="720"/>
      <c r="R177" s="720"/>
      <c r="S177" s="720"/>
      <c r="T177" s="720"/>
      <c r="U177" s="720"/>
      <c r="V177" s="720"/>
      <c r="W177"/>
      <c r="X177"/>
      <c r="Y177"/>
      <c r="Z177"/>
      <c r="AA177"/>
    </row>
    <row r="178" spans="1:27" ht="12.75">
      <c r="A178" s="222"/>
      <c r="B178" s="303"/>
      <c r="C178" s="421"/>
      <c r="D178" s="726" t="s">
        <v>33</v>
      </c>
      <c r="E178" s="223">
        <v>18637</v>
      </c>
      <c r="F178" s="223">
        <f t="shared" si="2"/>
        <v>0</v>
      </c>
      <c r="G178" s="226"/>
      <c r="H178" s="226"/>
      <c r="I178" s="226"/>
      <c r="J178" s="226"/>
      <c r="K178" s="226"/>
      <c r="L178" s="226"/>
      <c r="M178" s="226"/>
      <c r="N178" s="226"/>
      <c r="O178" s="226"/>
      <c r="P178" s="727"/>
      <c r="Q178" s="720"/>
      <c r="R178" s="720"/>
      <c r="S178" s="720"/>
      <c r="T178" s="720"/>
      <c r="U178" s="720"/>
      <c r="V178" s="720"/>
      <c r="W178"/>
      <c r="X178"/>
      <c r="Y178"/>
      <c r="Z178"/>
      <c r="AA178"/>
    </row>
    <row r="179" spans="1:27" ht="12.75">
      <c r="A179" s="222"/>
      <c r="B179" s="303"/>
      <c r="C179" s="421"/>
      <c r="D179" s="726" t="s">
        <v>321</v>
      </c>
      <c r="E179" s="223">
        <v>18637</v>
      </c>
      <c r="F179" s="223">
        <f t="shared" si="2"/>
        <v>0</v>
      </c>
      <c r="G179" s="226"/>
      <c r="H179" s="226"/>
      <c r="I179" s="226"/>
      <c r="J179" s="226"/>
      <c r="K179" s="226"/>
      <c r="L179" s="226"/>
      <c r="M179" s="226"/>
      <c r="N179" s="226"/>
      <c r="O179" s="226"/>
      <c r="P179" s="727"/>
      <c r="Q179" s="720"/>
      <c r="R179" s="720"/>
      <c r="S179" s="720"/>
      <c r="T179" s="720"/>
      <c r="U179" s="720"/>
      <c r="V179" s="720"/>
      <c r="W179"/>
      <c r="X179"/>
      <c r="Y179"/>
      <c r="Z179"/>
      <c r="AA179"/>
    </row>
    <row r="180" spans="1:27" ht="12.75">
      <c r="A180" s="222" t="s">
        <v>543</v>
      </c>
      <c r="B180" s="303">
        <v>882114</v>
      </c>
      <c r="C180" s="421" t="s">
        <v>702</v>
      </c>
      <c r="D180" s="726" t="s">
        <v>874</v>
      </c>
      <c r="E180" s="223"/>
      <c r="F180" s="223">
        <f t="shared" si="2"/>
        <v>0</v>
      </c>
      <c r="G180" s="226"/>
      <c r="H180" s="226"/>
      <c r="I180" s="226"/>
      <c r="J180" s="226"/>
      <c r="K180" s="226"/>
      <c r="L180" s="226"/>
      <c r="M180" s="226"/>
      <c r="N180" s="226"/>
      <c r="O180" s="226"/>
      <c r="P180" s="727"/>
      <c r="Q180" s="720"/>
      <c r="R180" s="720"/>
      <c r="S180" s="720"/>
      <c r="T180" s="720"/>
      <c r="U180" s="720"/>
      <c r="V180" s="720"/>
      <c r="W180"/>
      <c r="X180"/>
      <c r="Y180"/>
      <c r="Z180"/>
      <c r="AA180"/>
    </row>
    <row r="181" spans="1:27" ht="12.75">
      <c r="A181" s="222"/>
      <c r="B181" s="303"/>
      <c r="C181" s="421"/>
      <c r="D181" s="726" t="s">
        <v>33</v>
      </c>
      <c r="E181" s="223"/>
      <c r="F181" s="223">
        <f t="shared" si="2"/>
        <v>0</v>
      </c>
      <c r="G181" s="226"/>
      <c r="H181" s="226"/>
      <c r="I181" s="226"/>
      <c r="J181" s="226"/>
      <c r="K181" s="226"/>
      <c r="L181" s="226"/>
      <c r="M181" s="226"/>
      <c r="N181" s="226"/>
      <c r="O181" s="226"/>
      <c r="P181" s="727"/>
      <c r="Q181" s="720"/>
      <c r="R181" s="720"/>
      <c r="S181" s="720"/>
      <c r="T181" s="720"/>
      <c r="U181" s="720"/>
      <c r="V181" s="720"/>
      <c r="W181"/>
      <c r="X181"/>
      <c r="Y181"/>
      <c r="Z181"/>
      <c r="AA181"/>
    </row>
    <row r="182" spans="1:27" ht="12.75">
      <c r="A182" s="222"/>
      <c r="B182" s="303"/>
      <c r="C182" s="421"/>
      <c r="D182" s="726" t="s">
        <v>321</v>
      </c>
      <c r="E182" s="223"/>
      <c r="F182" s="223">
        <f t="shared" si="2"/>
        <v>0</v>
      </c>
      <c r="G182" s="226"/>
      <c r="H182" s="226"/>
      <c r="I182" s="226"/>
      <c r="J182" s="226"/>
      <c r="K182" s="226"/>
      <c r="L182" s="226"/>
      <c r="M182" s="226"/>
      <c r="N182" s="226"/>
      <c r="O182" s="226"/>
      <c r="P182" s="727"/>
      <c r="Q182" s="720"/>
      <c r="R182" s="720"/>
      <c r="S182" s="720"/>
      <c r="T182" s="720"/>
      <c r="U182" s="720"/>
      <c r="V182" s="720"/>
      <c r="W182"/>
      <c r="X182"/>
      <c r="Y182"/>
      <c r="Z182"/>
      <c r="AA182"/>
    </row>
    <row r="183" spans="1:27" ht="12.75">
      <c r="A183" s="222" t="s">
        <v>542</v>
      </c>
      <c r="B183" s="303">
        <v>882115</v>
      </c>
      <c r="C183" s="421" t="s">
        <v>703</v>
      </c>
      <c r="D183" s="726" t="s">
        <v>874</v>
      </c>
      <c r="E183" s="223">
        <v>1523</v>
      </c>
      <c r="F183" s="223">
        <f t="shared" si="2"/>
        <v>0</v>
      </c>
      <c r="G183" s="226"/>
      <c r="H183" s="226"/>
      <c r="I183" s="226"/>
      <c r="J183" s="226"/>
      <c r="K183" s="226"/>
      <c r="L183" s="226"/>
      <c r="M183" s="226"/>
      <c r="N183" s="226"/>
      <c r="O183" s="226"/>
      <c r="P183" s="727"/>
      <c r="Q183" s="720"/>
      <c r="R183" s="720"/>
      <c r="S183" s="720"/>
      <c r="T183" s="720"/>
      <c r="U183" s="720"/>
      <c r="V183" s="720"/>
      <c r="W183"/>
      <c r="X183"/>
      <c r="Y183"/>
      <c r="Z183"/>
      <c r="AA183"/>
    </row>
    <row r="184" spans="1:27" ht="12.75">
      <c r="A184" s="222"/>
      <c r="B184" s="303"/>
      <c r="C184" s="421"/>
      <c r="D184" s="726" t="s">
        <v>33</v>
      </c>
      <c r="E184" s="223">
        <v>1621</v>
      </c>
      <c r="F184" s="223">
        <f t="shared" si="2"/>
        <v>0</v>
      </c>
      <c r="G184" s="226"/>
      <c r="H184" s="226"/>
      <c r="I184" s="226"/>
      <c r="J184" s="226"/>
      <c r="K184" s="226"/>
      <c r="L184" s="226"/>
      <c r="M184" s="226"/>
      <c r="N184" s="226"/>
      <c r="O184" s="226"/>
      <c r="P184" s="727"/>
      <c r="Q184" s="720"/>
      <c r="R184" s="720"/>
      <c r="S184" s="720"/>
      <c r="T184" s="720"/>
      <c r="U184" s="720"/>
      <c r="V184" s="720"/>
      <c r="W184"/>
      <c r="X184"/>
      <c r="Y184"/>
      <c r="Z184"/>
      <c r="AA184"/>
    </row>
    <row r="185" spans="1:27" ht="12.75">
      <c r="A185" s="222"/>
      <c r="B185" s="303"/>
      <c r="C185" s="421"/>
      <c r="D185" s="726" t="s">
        <v>321</v>
      </c>
      <c r="E185" s="223">
        <v>1621</v>
      </c>
      <c r="F185" s="223">
        <f t="shared" si="2"/>
        <v>0</v>
      </c>
      <c r="G185" s="226"/>
      <c r="H185" s="226"/>
      <c r="I185" s="226"/>
      <c r="J185" s="226"/>
      <c r="K185" s="226"/>
      <c r="L185" s="226"/>
      <c r="M185" s="226"/>
      <c r="N185" s="226"/>
      <c r="O185" s="226"/>
      <c r="P185" s="727"/>
      <c r="Q185" s="720"/>
      <c r="R185" s="720"/>
      <c r="S185" s="720"/>
      <c r="T185" s="720"/>
      <c r="U185" s="720"/>
      <c r="V185" s="720"/>
      <c r="W185"/>
      <c r="X185"/>
      <c r="Y185"/>
      <c r="Z185"/>
      <c r="AA185"/>
    </row>
    <row r="186" spans="1:27" ht="12.75">
      <c r="A186" s="222" t="s">
        <v>543</v>
      </c>
      <c r="B186" s="303">
        <v>882116</v>
      </c>
      <c r="C186" s="421" t="s">
        <v>704</v>
      </c>
      <c r="D186" s="726" t="s">
        <v>874</v>
      </c>
      <c r="E186" s="223"/>
      <c r="F186" s="223">
        <f t="shared" si="2"/>
        <v>1700</v>
      </c>
      <c r="G186" s="226"/>
      <c r="H186" s="226"/>
      <c r="I186" s="226"/>
      <c r="J186" s="226"/>
      <c r="K186" s="226">
        <v>1700</v>
      </c>
      <c r="L186" s="226"/>
      <c r="M186" s="226"/>
      <c r="N186" s="226"/>
      <c r="O186" s="226"/>
      <c r="P186" s="727"/>
      <c r="Q186" s="720"/>
      <c r="R186" s="720"/>
      <c r="S186" s="720"/>
      <c r="T186" s="720"/>
      <c r="U186" s="720"/>
      <c r="V186" s="720"/>
      <c r="W186"/>
      <c r="X186"/>
      <c r="Y186"/>
      <c r="Z186"/>
      <c r="AA186"/>
    </row>
    <row r="187" spans="1:27" ht="12.75">
      <c r="A187" s="222"/>
      <c r="B187" s="303"/>
      <c r="C187" s="421"/>
      <c r="D187" s="726" t="s">
        <v>33</v>
      </c>
      <c r="E187" s="223"/>
      <c r="F187" s="223">
        <f t="shared" si="2"/>
        <v>1324</v>
      </c>
      <c r="G187" s="226"/>
      <c r="H187" s="226"/>
      <c r="I187" s="226"/>
      <c r="J187" s="226"/>
      <c r="K187" s="226">
        <v>1324</v>
      </c>
      <c r="L187" s="226"/>
      <c r="M187" s="226"/>
      <c r="N187" s="226"/>
      <c r="O187" s="226"/>
      <c r="P187" s="727"/>
      <c r="Q187" s="720"/>
      <c r="R187" s="720"/>
      <c r="S187" s="720"/>
      <c r="T187" s="720"/>
      <c r="U187" s="720"/>
      <c r="V187" s="720"/>
      <c r="W187"/>
      <c r="X187"/>
      <c r="Y187"/>
      <c r="Z187"/>
      <c r="AA187"/>
    </row>
    <row r="188" spans="1:27" ht="12.75">
      <c r="A188" s="222"/>
      <c r="B188" s="303"/>
      <c r="C188" s="421"/>
      <c r="D188" s="726" t="s">
        <v>321</v>
      </c>
      <c r="E188" s="223"/>
      <c r="F188" s="223">
        <f t="shared" si="2"/>
        <v>1324</v>
      </c>
      <c r="G188" s="226"/>
      <c r="H188" s="226"/>
      <c r="I188" s="226"/>
      <c r="J188" s="226"/>
      <c r="K188" s="226">
        <v>1324</v>
      </c>
      <c r="L188" s="226"/>
      <c r="M188" s="226"/>
      <c r="N188" s="226"/>
      <c r="O188" s="226"/>
      <c r="P188" s="727"/>
      <c r="Q188" s="720"/>
      <c r="R188" s="720"/>
      <c r="S188" s="720"/>
      <c r="T188" s="720"/>
      <c r="U188" s="720"/>
      <c r="V188" s="720"/>
      <c r="W188"/>
      <c r="X188"/>
      <c r="Y188"/>
      <c r="Z188"/>
      <c r="AA188"/>
    </row>
    <row r="189" spans="1:27" ht="12.75">
      <c r="A189" s="222" t="s">
        <v>542</v>
      </c>
      <c r="B189" s="303">
        <v>882117</v>
      </c>
      <c r="C189" s="421" t="s">
        <v>724</v>
      </c>
      <c r="D189" s="726" t="s">
        <v>874</v>
      </c>
      <c r="E189" s="223"/>
      <c r="F189" s="223">
        <f t="shared" si="2"/>
        <v>0</v>
      </c>
      <c r="G189" s="226"/>
      <c r="H189" s="226"/>
      <c r="I189" s="226"/>
      <c r="J189" s="226"/>
      <c r="K189" s="226"/>
      <c r="L189" s="226"/>
      <c r="M189" s="226"/>
      <c r="N189" s="226"/>
      <c r="O189" s="226"/>
      <c r="P189" s="727"/>
      <c r="Q189" s="720"/>
      <c r="R189" s="720"/>
      <c r="S189" s="720"/>
      <c r="T189" s="720"/>
      <c r="U189" s="720"/>
      <c r="V189" s="720"/>
      <c r="W189"/>
      <c r="X189"/>
      <c r="Y189"/>
      <c r="Z189"/>
      <c r="AA189"/>
    </row>
    <row r="190" spans="1:27" ht="12.75">
      <c r="A190" s="222"/>
      <c r="B190" s="303"/>
      <c r="C190" s="421"/>
      <c r="D190" s="726" t="s">
        <v>33</v>
      </c>
      <c r="E190" s="223">
        <v>8294</v>
      </c>
      <c r="F190" s="223">
        <f t="shared" si="2"/>
        <v>0</v>
      </c>
      <c r="G190" s="226"/>
      <c r="H190" s="226"/>
      <c r="I190" s="226"/>
      <c r="J190" s="226"/>
      <c r="K190" s="226"/>
      <c r="L190" s="226"/>
      <c r="M190" s="226"/>
      <c r="N190" s="226"/>
      <c r="O190" s="226"/>
      <c r="P190" s="727"/>
      <c r="Q190" s="720"/>
      <c r="R190" s="720"/>
      <c r="S190" s="720"/>
      <c r="T190" s="720"/>
      <c r="U190" s="720"/>
      <c r="V190" s="720"/>
      <c r="W190"/>
      <c r="X190"/>
      <c r="Y190"/>
      <c r="Z190"/>
      <c r="AA190"/>
    </row>
    <row r="191" spans="1:27" ht="12.75">
      <c r="A191" s="222"/>
      <c r="B191" s="303"/>
      <c r="C191" s="421"/>
      <c r="D191" s="726" t="s">
        <v>321</v>
      </c>
      <c r="E191" s="223">
        <v>8259</v>
      </c>
      <c r="F191" s="223">
        <f t="shared" si="2"/>
        <v>0</v>
      </c>
      <c r="G191" s="226"/>
      <c r="H191" s="226"/>
      <c r="I191" s="226"/>
      <c r="J191" s="226"/>
      <c r="K191" s="226"/>
      <c r="L191" s="226"/>
      <c r="M191" s="226"/>
      <c r="N191" s="226"/>
      <c r="O191" s="226"/>
      <c r="P191" s="727"/>
      <c r="Q191" s="720"/>
      <c r="R191" s="720"/>
      <c r="S191" s="720"/>
      <c r="T191" s="720"/>
      <c r="U191" s="720"/>
      <c r="V191" s="720"/>
      <c r="W191"/>
      <c r="X191"/>
      <c r="Y191"/>
      <c r="Z191"/>
      <c r="AA191"/>
    </row>
    <row r="192" spans="1:27" ht="12.75">
      <c r="A192" s="222" t="s">
        <v>542</v>
      </c>
      <c r="B192" s="303">
        <v>882119</v>
      </c>
      <c r="C192" s="421" t="s">
        <v>390</v>
      </c>
      <c r="D192" s="726" t="s">
        <v>874</v>
      </c>
      <c r="E192" s="223">
        <v>300</v>
      </c>
      <c r="F192" s="223">
        <f t="shared" si="2"/>
        <v>0</v>
      </c>
      <c r="G192" s="226"/>
      <c r="H192" s="226"/>
      <c r="I192" s="226"/>
      <c r="J192" s="226"/>
      <c r="K192" s="226"/>
      <c r="L192" s="226"/>
      <c r="M192" s="226"/>
      <c r="N192" s="226"/>
      <c r="O192" s="226"/>
      <c r="P192" s="727"/>
      <c r="Q192" s="720"/>
      <c r="R192" s="720"/>
      <c r="S192" s="720"/>
      <c r="T192" s="720"/>
      <c r="U192" s="720"/>
      <c r="V192" s="720"/>
      <c r="W192"/>
      <c r="X192"/>
      <c r="Y192"/>
      <c r="Z192"/>
      <c r="AA192"/>
    </row>
    <row r="193" spans="1:27" ht="12.75">
      <c r="A193" s="222"/>
      <c r="B193" s="303"/>
      <c r="C193" s="421"/>
      <c r="D193" s="726" t="s">
        <v>33</v>
      </c>
      <c r="E193" s="223"/>
      <c r="F193" s="223">
        <f t="shared" si="2"/>
        <v>0</v>
      </c>
      <c r="G193" s="226"/>
      <c r="H193" s="226"/>
      <c r="I193" s="226"/>
      <c r="J193" s="226"/>
      <c r="K193" s="226"/>
      <c r="L193" s="226"/>
      <c r="M193" s="226"/>
      <c r="N193" s="226"/>
      <c r="O193" s="226"/>
      <c r="P193" s="727"/>
      <c r="Q193" s="720"/>
      <c r="R193" s="720"/>
      <c r="S193" s="720"/>
      <c r="T193" s="720"/>
      <c r="U193" s="720"/>
      <c r="V193" s="720"/>
      <c r="W193"/>
      <c r="X193"/>
      <c r="Y193"/>
      <c r="Z193"/>
      <c r="AA193"/>
    </row>
    <row r="194" spans="1:27" ht="12.75">
      <c r="A194" s="222"/>
      <c r="B194" s="303"/>
      <c r="C194" s="421"/>
      <c r="D194" s="726" t="s">
        <v>321</v>
      </c>
      <c r="E194" s="223"/>
      <c r="F194" s="223">
        <f t="shared" si="2"/>
        <v>0</v>
      </c>
      <c r="G194" s="226"/>
      <c r="H194" s="226"/>
      <c r="I194" s="226"/>
      <c r="J194" s="226"/>
      <c r="K194" s="226"/>
      <c r="L194" s="226"/>
      <c r="M194" s="226"/>
      <c r="N194" s="226"/>
      <c r="O194" s="226"/>
      <c r="P194" s="727"/>
      <c r="Q194" s="720"/>
      <c r="R194" s="720"/>
      <c r="S194" s="720"/>
      <c r="T194" s="720"/>
      <c r="U194" s="720"/>
      <c r="V194" s="720"/>
      <c r="W194"/>
      <c r="X194"/>
      <c r="Y194"/>
      <c r="Z194"/>
      <c r="AA194"/>
    </row>
    <row r="195" spans="1:27" ht="12.75">
      <c r="A195" s="222" t="s">
        <v>542</v>
      </c>
      <c r="B195" s="303">
        <v>882122</v>
      </c>
      <c r="C195" s="421" t="s">
        <v>384</v>
      </c>
      <c r="D195" s="726" t="s">
        <v>874</v>
      </c>
      <c r="E195" s="223"/>
      <c r="F195" s="223">
        <f t="shared" si="2"/>
        <v>16000</v>
      </c>
      <c r="G195" s="226"/>
      <c r="H195" s="226"/>
      <c r="I195" s="226"/>
      <c r="J195" s="226"/>
      <c r="K195" s="226">
        <v>16000</v>
      </c>
      <c r="L195" s="226"/>
      <c r="M195" s="226"/>
      <c r="N195" s="226"/>
      <c r="O195" s="226"/>
      <c r="P195" s="727"/>
      <c r="Q195" s="720"/>
      <c r="R195" s="720"/>
      <c r="S195" s="720"/>
      <c r="T195" s="720"/>
      <c r="U195" s="720"/>
      <c r="V195" s="720"/>
      <c r="W195"/>
      <c r="X195"/>
      <c r="Y195"/>
      <c r="Z195"/>
      <c r="AA195"/>
    </row>
    <row r="196" spans="1:27" ht="12.75">
      <c r="A196" s="222"/>
      <c r="B196" s="303"/>
      <c r="C196" s="421"/>
      <c r="D196" s="726" t="s">
        <v>33</v>
      </c>
      <c r="E196" s="223"/>
      <c r="F196" s="223">
        <f t="shared" si="2"/>
        <v>21188</v>
      </c>
      <c r="G196" s="226"/>
      <c r="H196" s="226"/>
      <c r="I196" s="226"/>
      <c r="J196" s="226"/>
      <c r="K196" s="226">
        <v>21188</v>
      </c>
      <c r="L196" s="226"/>
      <c r="M196" s="226"/>
      <c r="N196" s="226"/>
      <c r="O196" s="226"/>
      <c r="P196" s="727"/>
      <c r="Q196" s="720"/>
      <c r="R196" s="720"/>
      <c r="S196" s="720"/>
      <c r="T196" s="720"/>
      <c r="U196" s="720"/>
      <c r="V196" s="720"/>
      <c r="W196"/>
      <c r="X196"/>
      <c r="Y196"/>
      <c r="Z196"/>
      <c r="AA196"/>
    </row>
    <row r="197" spans="1:27" ht="12.75">
      <c r="A197" s="222"/>
      <c r="B197" s="303"/>
      <c r="C197" s="421"/>
      <c r="D197" s="726" t="s">
        <v>321</v>
      </c>
      <c r="E197" s="223"/>
      <c r="F197" s="223">
        <f t="shared" si="2"/>
        <v>19551</v>
      </c>
      <c r="G197" s="226"/>
      <c r="H197" s="226"/>
      <c r="I197" s="226"/>
      <c r="J197" s="226"/>
      <c r="K197" s="226">
        <v>19551</v>
      </c>
      <c r="L197" s="226"/>
      <c r="M197" s="226"/>
      <c r="N197" s="226"/>
      <c r="O197" s="226"/>
      <c r="P197" s="727"/>
      <c r="Q197" s="720"/>
      <c r="R197" s="720"/>
      <c r="S197" s="720"/>
      <c r="T197" s="720"/>
      <c r="U197" s="720"/>
      <c r="V197" s="720"/>
      <c r="W197"/>
      <c r="X197"/>
      <c r="Y197"/>
      <c r="Z197"/>
      <c r="AA197"/>
    </row>
    <row r="198" spans="1:27" ht="12.75">
      <c r="A198" s="222" t="s">
        <v>542</v>
      </c>
      <c r="B198" s="303">
        <v>882123</v>
      </c>
      <c r="C198" s="421" t="s">
        <v>386</v>
      </c>
      <c r="D198" s="726" t="s">
        <v>874</v>
      </c>
      <c r="E198" s="223"/>
      <c r="F198" s="223">
        <f t="shared" si="2"/>
        <v>2500</v>
      </c>
      <c r="G198" s="224"/>
      <c r="H198" s="224"/>
      <c r="I198" s="224"/>
      <c r="J198" s="224"/>
      <c r="K198" s="224">
        <v>2500</v>
      </c>
      <c r="L198" s="224"/>
      <c r="M198" s="224"/>
      <c r="N198" s="224"/>
      <c r="O198" s="224"/>
      <c r="P198" s="727"/>
      <c r="Q198" s="720"/>
      <c r="R198" s="720"/>
      <c r="S198" s="720"/>
      <c r="T198" s="720"/>
      <c r="U198" s="720"/>
      <c r="V198" s="720"/>
      <c r="W198"/>
      <c r="X198"/>
      <c r="Y198"/>
      <c r="Z198"/>
      <c r="AA198"/>
    </row>
    <row r="199" spans="1:27" ht="12.75">
      <c r="A199" s="222"/>
      <c r="B199" s="303"/>
      <c r="C199" s="421"/>
      <c r="D199" s="726" t="s">
        <v>33</v>
      </c>
      <c r="E199" s="223"/>
      <c r="F199" s="223">
        <f t="shared" si="2"/>
        <v>1500</v>
      </c>
      <c r="G199" s="224"/>
      <c r="H199" s="224"/>
      <c r="I199" s="224"/>
      <c r="J199" s="224"/>
      <c r="K199" s="224">
        <v>1500</v>
      </c>
      <c r="L199" s="224"/>
      <c r="M199" s="224"/>
      <c r="N199" s="224"/>
      <c r="O199" s="224"/>
      <c r="P199" s="727"/>
      <c r="Q199" s="720"/>
      <c r="R199" s="720"/>
      <c r="S199" s="720"/>
      <c r="T199" s="720"/>
      <c r="U199" s="720"/>
      <c r="V199" s="720"/>
      <c r="W199"/>
      <c r="X199"/>
      <c r="Y199"/>
      <c r="Z199"/>
      <c r="AA199"/>
    </row>
    <row r="200" spans="1:27" ht="12.75">
      <c r="A200" s="222"/>
      <c r="B200" s="303"/>
      <c r="C200" s="421"/>
      <c r="D200" s="726" t="s">
        <v>321</v>
      </c>
      <c r="E200" s="223"/>
      <c r="F200" s="223">
        <f t="shared" si="2"/>
        <v>1434</v>
      </c>
      <c r="G200" s="224"/>
      <c r="H200" s="224"/>
      <c r="I200" s="224"/>
      <c r="J200" s="224"/>
      <c r="K200" s="224">
        <v>1434</v>
      </c>
      <c r="L200" s="224"/>
      <c r="M200" s="224"/>
      <c r="N200" s="224"/>
      <c r="O200" s="224"/>
      <c r="P200" s="727"/>
      <c r="Q200" s="720"/>
      <c r="R200" s="720"/>
      <c r="S200" s="720"/>
      <c r="T200" s="720"/>
      <c r="U200" s="720"/>
      <c r="V200" s="720"/>
      <c r="W200"/>
      <c r="X200"/>
      <c r="Y200"/>
      <c r="Z200"/>
      <c r="AA200"/>
    </row>
    <row r="201" spans="1:27" ht="12.75">
      <c r="A201" s="222" t="s">
        <v>542</v>
      </c>
      <c r="B201" s="303">
        <v>882124</v>
      </c>
      <c r="C201" s="421" t="s">
        <v>705</v>
      </c>
      <c r="D201" s="726" t="s">
        <v>874</v>
      </c>
      <c r="E201" s="223"/>
      <c r="F201" s="223">
        <f t="shared" si="2"/>
        <v>4000</v>
      </c>
      <c r="G201" s="224"/>
      <c r="H201" s="224"/>
      <c r="I201" s="224"/>
      <c r="J201" s="224"/>
      <c r="K201" s="224">
        <v>4000</v>
      </c>
      <c r="L201" s="224"/>
      <c r="M201" s="224"/>
      <c r="N201" s="224"/>
      <c r="O201" s="224"/>
      <c r="P201" s="727"/>
      <c r="Q201" s="720"/>
      <c r="R201" s="720"/>
      <c r="S201" s="720"/>
      <c r="T201" s="720"/>
      <c r="U201" s="720"/>
      <c r="V201" s="720"/>
      <c r="W201"/>
      <c r="X201"/>
      <c r="Y201"/>
      <c r="Z201"/>
      <c r="AA201"/>
    </row>
    <row r="202" spans="1:27" ht="12.75">
      <c r="A202" s="222"/>
      <c r="B202" s="303"/>
      <c r="C202" s="421"/>
      <c r="D202" s="726" t="s">
        <v>33</v>
      </c>
      <c r="E202" s="223"/>
      <c r="F202" s="223">
        <f aca="true" t="shared" si="3" ref="F202:F212">SUM(G202:P202)</f>
        <v>5336</v>
      </c>
      <c r="G202" s="224"/>
      <c r="H202" s="224"/>
      <c r="I202" s="224"/>
      <c r="J202" s="224"/>
      <c r="K202" s="224">
        <v>5336</v>
      </c>
      <c r="L202" s="224"/>
      <c r="M202" s="224"/>
      <c r="N202" s="224"/>
      <c r="O202" s="224"/>
      <c r="P202" s="727"/>
      <c r="Q202" s="720"/>
      <c r="R202" s="720"/>
      <c r="S202" s="720"/>
      <c r="T202" s="720"/>
      <c r="U202" s="720"/>
      <c r="V202" s="720"/>
      <c r="W202"/>
      <c r="X202"/>
      <c r="Y202"/>
      <c r="Z202"/>
      <c r="AA202"/>
    </row>
    <row r="203" spans="1:27" ht="12.75">
      <c r="A203" s="222"/>
      <c r="B203" s="303"/>
      <c r="C203" s="421"/>
      <c r="D203" s="726" t="s">
        <v>321</v>
      </c>
      <c r="E203" s="223"/>
      <c r="F203" s="223">
        <f t="shared" si="3"/>
        <v>5336</v>
      </c>
      <c r="G203" s="224"/>
      <c r="H203" s="224"/>
      <c r="I203" s="224"/>
      <c r="J203" s="224"/>
      <c r="K203" s="224">
        <v>5336</v>
      </c>
      <c r="L203" s="224"/>
      <c r="M203" s="224"/>
      <c r="N203" s="224"/>
      <c r="O203" s="224"/>
      <c r="P203" s="727"/>
      <c r="Q203" s="720"/>
      <c r="R203" s="720"/>
      <c r="S203" s="720"/>
      <c r="T203" s="720"/>
      <c r="U203" s="720"/>
      <c r="V203" s="720"/>
      <c r="W203"/>
      <c r="X203"/>
      <c r="Y203"/>
      <c r="Z203"/>
      <c r="AA203"/>
    </row>
    <row r="204" spans="1:27" ht="12.75">
      <c r="A204" s="222" t="s">
        <v>543</v>
      </c>
      <c r="B204" s="303">
        <v>882129</v>
      </c>
      <c r="C204" s="421" t="s">
        <v>706</v>
      </c>
      <c r="D204" s="726" t="s">
        <v>874</v>
      </c>
      <c r="E204" s="223"/>
      <c r="F204" s="223">
        <f t="shared" si="3"/>
        <v>4000</v>
      </c>
      <c r="G204" s="226"/>
      <c r="H204" s="226"/>
      <c r="I204" s="226"/>
      <c r="J204" s="226">
        <v>4000</v>
      </c>
      <c r="K204" s="226"/>
      <c r="L204" s="226"/>
      <c r="M204" s="226"/>
      <c r="N204" s="226"/>
      <c r="O204" s="226"/>
      <c r="P204" s="727"/>
      <c r="Q204" s="720"/>
      <c r="R204" s="720"/>
      <c r="S204" s="720"/>
      <c r="T204" s="720"/>
      <c r="U204" s="720"/>
      <c r="V204" s="720"/>
      <c r="W204"/>
      <c r="X204"/>
      <c r="Y204"/>
      <c r="Z204"/>
      <c r="AA204"/>
    </row>
    <row r="205" spans="1:27" ht="12.75">
      <c r="A205" s="222"/>
      <c r="B205" s="303"/>
      <c r="C205" s="421"/>
      <c r="D205" s="726" t="s">
        <v>33</v>
      </c>
      <c r="E205" s="223"/>
      <c r="F205" s="223">
        <f t="shared" si="3"/>
        <v>4000</v>
      </c>
      <c r="G205" s="226"/>
      <c r="H205" s="226"/>
      <c r="I205" s="226"/>
      <c r="J205" s="226">
        <v>4000</v>
      </c>
      <c r="K205" s="226"/>
      <c r="L205" s="226"/>
      <c r="M205" s="226"/>
      <c r="N205" s="226"/>
      <c r="O205" s="226"/>
      <c r="P205" s="727"/>
      <c r="Q205" s="720"/>
      <c r="R205" s="720"/>
      <c r="S205" s="720"/>
      <c r="T205" s="720"/>
      <c r="U205" s="720"/>
      <c r="V205" s="720"/>
      <c r="W205"/>
      <c r="X205"/>
      <c r="Y205"/>
      <c r="Z205"/>
      <c r="AA205"/>
    </row>
    <row r="206" spans="1:27" ht="12.75">
      <c r="A206" s="222"/>
      <c r="B206" s="303"/>
      <c r="C206" s="421"/>
      <c r="D206" s="726" t="s">
        <v>321</v>
      </c>
      <c r="E206" s="223">
        <v>565</v>
      </c>
      <c r="F206" s="223">
        <f t="shared" si="3"/>
        <v>3715</v>
      </c>
      <c r="G206" s="226"/>
      <c r="H206" s="226"/>
      <c r="I206" s="226"/>
      <c r="J206" s="226">
        <v>3715</v>
      </c>
      <c r="K206" s="226"/>
      <c r="L206" s="226"/>
      <c r="M206" s="226"/>
      <c r="N206" s="226"/>
      <c r="O206" s="226"/>
      <c r="P206" s="727"/>
      <c r="Q206" s="720"/>
      <c r="R206" s="720"/>
      <c r="S206" s="720"/>
      <c r="T206" s="720"/>
      <c r="U206" s="720"/>
      <c r="V206" s="720"/>
      <c r="W206"/>
      <c r="X206"/>
      <c r="Y206"/>
      <c r="Z206"/>
      <c r="AA206"/>
    </row>
    <row r="207" spans="1:27" ht="12.75">
      <c r="A207" s="222" t="s">
        <v>543</v>
      </c>
      <c r="B207" s="303">
        <v>882129</v>
      </c>
      <c r="C207" s="421" t="s">
        <v>707</v>
      </c>
      <c r="D207" s="726" t="s">
        <v>874</v>
      </c>
      <c r="E207" s="223"/>
      <c r="F207" s="223">
        <f t="shared" si="3"/>
        <v>150</v>
      </c>
      <c r="G207" s="226"/>
      <c r="H207" s="226"/>
      <c r="I207" s="226"/>
      <c r="J207" s="226"/>
      <c r="K207" s="226">
        <v>150</v>
      </c>
      <c r="L207" s="226"/>
      <c r="M207" s="226"/>
      <c r="N207" s="226"/>
      <c r="O207" s="226"/>
      <c r="P207" s="727"/>
      <c r="Q207" s="720"/>
      <c r="R207" s="720"/>
      <c r="S207" s="720"/>
      <c r="T207" s="720"/>
      <c r="U207" s="720"/>
      <c r="V207" s="720"/>
      <c r="W207"/>
      <c r="X207"/>
      <c r="Y207"/>
      <c r="Z207"/>
      <c r="AA207"/>
    </row>
    <row r="208" spans="1:27" ht="12.75">
      <c r="A208" s="222"/>
      <c r="B208" s="303"/>
      <c r="C208" s="421"/>
      <c r="D208" s="726" t="s">
        <v>33</v>
      </c>
      <c r="E208" s="223"/>
      <c r="F208" s="223">
        <f t="shared" si="3"/>
        <v>150</v>
      </c>
      <c r="G208" s="226"/>
      <c r="H208" s="226"/>
      <c r="I208" s="226"/>
      <c r="J208" s="226"/>
      <c r="K208" s="226">
        <v>150</v>
      </c>
      <c r="L208" s="226"/>
      <c r="M208" s="226"/>
      <c r="N208" s="226"/>
      <c r="O208" s="226"/>
      <c r="P208" s="727"/>
      <c r="Q208" s="720"/>
      <c r="R208" s="720"/>
      <c r="S208" s="720"/>
      <c r="T208" s="720"/>
      <c r="U208" s="720"/>
      <c r="V208" s="720"/>
      <c r="W208"/>
      <c r="X208"/>
      <c r="Y208"/>
      <c r="Z208"/>
      <c r="AA208"/>
    </row>
    <row r="209" spans="1:27" ht="12.75">
      <c r="A209" s="222"/>
      <c r="B209" s="303"/>
      <c r="C209" s="421"/>
      <c r="D209" s="726" t="s">
        <v>321</v>
      </c>
      <c r="E209" s="223"/>
      <c r="F209" s="223">
        <f t="shared" si="3"/>
        <v>80</v>
      </c>
      <c r="G209" s="226"/>
      <c r="H209" s="226"/>
      <c r="I209" s="226"/>
      <c r="J209" s="226"/>
      <c r="K209" s="226">
        <v>80</v>
      </c>
      <c r="L209" s="226"/>
      <c r="M209" s="226"/>
      <c r="N209" s="226"/>
      <c r="O209" s="226"/>
      <c r="P209" s="727"/>
      <c r="Q209" s="720"/>
      <c r="R209" s="720"/>
      <c r="S209" s="720"/>
      <c r="T209" s="720"/>
      <c r="U209" s="720"/>
      <c r="V209" s="720"/>
      <c r="W209"/>
      <c r="X209"/>
      <c r="Y209"/>
      <c r="Z209"/>
      <c r="AA209"/>
    </row>
    <row r="210" spans="1:27" ht="12.75">
      <c r="A210" s="222" t="s">
        <v>543</v>
      </c>
      <c r="B210" s="303">
        <v>882201</v>
      </c>
      <c r="C210" s="421" t="s">
        <v>381</v>
      </c>
      <c r="D210" s="726" t="s">
        <v>874</v>
      </c>
      <c r="E210" s="223">
        <v>7200</v>
      </c>
      <c r="F210" s="223">
        <f t="shared" si="3"/>
        <v>0</v>
      </c>
      <c r="G210" s="226"/>
      <c r="H210" s="226"/>
      <c r="I210" s="226"/>
      <c r="J210" s="226"/>
      <c r="K210" s="226"/>
      <c r="L210" s="226"/>
      <c r="M210" s="226"/>
      <c r="N210" s="226"/>
      <c r="O210" s="226"/>
      <c r="P210" s="727"/>
      <c r="Q210" s="720"/>
      <c r="R210" s="720"/>
      <c r="S210" s="720"/>
      <c r="T210" s="720"/>
      <c r="U210" s="720"/>
      <c r="V210" s="720"/>
      <c r="W210"/>
      <c r="X210"/>
      <c r="Y210"/>
      <c r="Z210"/>
      <c r="AA210"/>
    </row>
    <row r="211" spans="1:27" ht="12.75">
      <c r="A211" s="222"/>
      <c r="B211" s="303"/>
      <c r="C211" s="421"/>
      <c r="D211" s="726" t="s">
        <v>33</v>
      </c>
      <c r="E211" s="223">
        <v>5635</v>
      </c>
      <c r="F211" s="223">
        <f t="shared" si="3"/>
        <v>0</v>
      </c>
      <c r="G211" s="226"/>
      <c r="H211" s="226"/>
      <c r="I211" s="226"/>
      <c r="J211" s="226"/>
      <c r="K211" s="226"/>
      <c r="L211" s="226"/>
      <c r="M211" s="226"/>
      <c r="N211" s="226"/>
      <c r="O211" s="226"/>
      <c r="P211" s="727"/>
      <c r="Q211" s="720"/>
      <c r="R211" s="720"/>
      <c r="S211" s="720"/>
      <c r="T211" s="720"/>
      <c r="U211" s="720"/>
      <c r="V211" s="720"/>
      <c r="W211"/>
      <c r="X211"/>
      <c r="Y211"/>
      <c r="Z211"/>
      <c r="AA211"/>
    </row>
    <row r="212" spans="1:27" ht="12.75">
      <c r="A212" s="222"/>
      <c r="B212" s="303"/>
      <c r="C212" s="421"/>
      <c r="D212" s="726" t="s">
        <v>321</v>
      </c>
      <c r="E212" s="223">
        <v>5635</v>
      </c>
      <c r="F212" s="223">
        <f t="shared" si="3"/>
        <v>0</v>
      </c>
      <c r="G212" s="226"/>
      <c r="H212" s="226"/>
      <c r="I212" s="226"/>
      <c r="J212" s="226"/>
      <c r="K212" s="226"/>
      <c r="L212" s="226"/>
      <c r="M212" s="226"/>
      <c r="N212" s="226"/>
      <c r="O212" s="226"/>
      <c r="P212" s="727"/>
      <c r="Q212" s="720"/>
      <c r="R212" s="720"/>
      <c r="S212" s="720"/>
      <c r="T212" s="720"/>
      <c r="U212" s="720"/>
      <c r="V212" s="720"/>
      <c r="W212"/>
      <c r="X212"/>
      <c r="Y212"/>
      <c r="Z212"/>
      <c r="AA212"/>
    </row>
    <row r="213" spans="1:27" ht="12.75">
      <c r="A213" s="222" t="s">
        <v>543</v>
      </c>
      <c r="B213" s="303">
        <v>882202</v>
      </c>
      <c r="C213" s="421" t="s">
        <v>395</v>
      </c>
      <c r="D213" s="726" t="s">
        <v>874</v>
      </c>
      <c r="E213" s="223"/>
      <c r="F213" s="223">
        <f aca="true" t="shared" si="4" ref="F213:F265">SUM(G213:P213)</f>
        <v>2500</v>
      </c>
      <c r="G213" s="226"/>
      <c r="H213" s="226"/>
      <c r="I213" s="226"/>
      <c r="J213" s="226"/>
      <c r="K213" s="226">
        <v>2500</v>
      </c>
      <c r="L213" s="226"/>
      <c r="M213" s="226"/>
      <c r="N213" s="226"/>
      <c r="O213" s="226"/>
      <c r="P213" s="727"/>
      <c r="Q213" s="720"/>
      <c r="R213" s="720"/>
      <c r="S213" s="720"/>
      <c r="T213" s="720"/>
      <c r="U213" s="720"/>
      <c r="V213" s="720"/>
      <c r="W213"/>
      <c r="X213"/>
      <c r="Y213"/>
      <c r="Z213"/>
      <c r="AA213"/>
    </row>
    <row r="214" spans="1:27" ht="12.75">
      <c r="A214" s="222"/>
      <c r="B214" s="303"/>
      <c r="C214" s="421"/>
      <c r="D214" s="726" t="s">
        <v>33</v>
      </c>
      <c r="E214" s="223"/>
      <c r="F214" s="223">
        <f t="shared" si="4"/>
        <v>1652</v>
      </c>
      <c r="G214" s="226"/>
      <c r="H214" s="226"/>
      <c r="I214" s="226"/>
      <c r="J214" s="226"/>
      <c r="K214" s="226">
        <v>1652</v>
      </c>
      <c r="L214" s="226"/>
      <c r="M214" s="226"/>
      <c r="N214" s="226"/>
      <c r="O214" s="226"/>
      <c r="P214" s="727"/>
      <c r="Q214" s="720"/>
      <c r="R214" s="720"/>
      <c r="S214" s="720"/>
      <c r="T214" s="720"/>
      <c r="U214" s="720"/>
      <c r="V214" s="720"/>
      <c r="W214"/>
      <c r="X214"/>
      <c r="Y214"/>
      <c r="Z214"/>
      <c r="AA214"/>
    </row>
    <row r="215" spans="1:27" ht="13.5" thickBot="1">
      <c r="A215" s="722"/>
      <c r="B215" s="743"/>
      <c r="C215" s="744"/>
      <c r="D215" s="745" t="s">
        <v>321</v>
      </c>
      <c r="E215" s="746"/>
      <c r="F215" s="746">
        <f>SUM(G215:P215)</f>
        <v>1652</v>
      </c>
      <c r="G215" s="524"/>
      <c r="H215" s="524"/>
      <c r="I215" s="524"/>
      <c r="J215" s="524"/>
      <c r="K215" s="524">
        <v>1652</v>
      </c>
      <c r="L215" s="524"/>
      <c r="M215" s="524"/>
      <c r="N215" s="524"/>
      <c r="O215" s="524"/>
      <c r="P215" s="747"/>
      <c r="Q215" s="720"/>
      <c r="R215" s="720"/>
      <c r="S215" s="720"/>
      <c r="T215" s="720"/>
      <c r="U215" s="720"/>
      <c r="V215" s="720"/>
      <c r="W215"/>
      <c r="X215"/>
      <c r="Y215"/>
      <c r="Z215"/>
      <c r="AA215"/>
    </row>
    <row r="216" spans="1:27" ht="12.75">
      <c r="A216" s="723" t="s">
        <v>542</v>
      </c>
      <c r="B216" s="728">
        <v>882203</v>
      </c>
      <c r="C216" s="741" t="s">
        <v>394</v>
      </c>
      <c r="D216" s="742" t="s">
        <v>874</v>
      </c>
      <c r="E216" s="724"/>
      <c r="F216" s="724">
        <f t="shared" si="4"/>
        <v>2500</v>
      </c>
      <c r="G216" s="725"/>
      <c r="H216" s="725"/>
      <c r="I216" s="725"/>
      <c r="J216" s="725"/>
      <c r="K216" s="725">
        <v>2500</v>
      </c>
      <c r="L216" s="725"/>
      <c r="M216" s="725"/>
      <c r="N216" s="725"/>
      <c r="O216" s="725"/>
      <c r="P216" s="729"/>
      <c r="Q216" s="720"/>
      <c r="R216" s="720"/>
      <c r="S216" s="720"/>
      <c r="T216" s="720"/>
      <c r="U216" s="720"/>
      <c r="V216" s="720"/>
      <c r="W216"/>
      <c r="X216"/>
      <c r="Y216"/>
      <c r="Z216"/>
      <c r="AA216"/>
    </row>
    <row r="217" spans="1:27" ht="12.75">
      <c r="A217" s="222"/>
      <c r="B217" s="303"/>
      <c r="C217" s="421"/>
      <c r="D217" s="726" t="s">
        <v>33</v>
      </c>
      <c r="E217" s="223">
        <v>240</v>
      </c>
      <c r="F217" s="223">
        <f t="shared" si="4"/>
        <v>740</v>
      </c>
      <c r="G217" s="226"/>
      <c r="H217" s="226"/>
      <c r="I217" s="226">
        <v>240</v>
      </c>
      <c r="J217" s="226"/>
      <c r="K217" s="226">
        <v>500</v>
      </c>
      <c r="L217" s="226"/>
      <c r="M217" s="226"/>
      <c r="N217" s="226"/>
      <c r="O217" s="226"/>
      <c r="P217" s="727"/>
      <c r="Q217" s="720"/>
      <c r="R217" s="720"/>
      <c r="S217" s="720"/>
      <c r="T217" s="720"/>
      <c r="U217" s="720"/>
      <c r="V217" s="720"/>
      <c r="W217"/>
      <c r="X217"/>
      <c r="Y217"/>
      <c r="Z217"/>
      <c r="AA217"/>
    </row>
    <row r="218" spans="1:27" ht="12.75">
      <c r="A218" s="222"/>
      <c r="B218" s="303"/>
      <c r="C218" s="421"/>
      <c r="D218" s="726" t="s">
        <v>321</v>
      </c>
      <c r="E218" s="223">
        <v>334</v>
      </c>
      <c r="F218" s="223">
        <f t="shared" si="4"/>
        <v>697</v>
      </c>
      <c r="G218" s="226"/>
      <c r="H218" s="226"/>
      <c r="I218" s="226">
        <v>227</v>
      </c>
      <c r="J218" s="226"/>
      <c r="K218" s="226">
        <v>470</v>
      </c>
      <c r="L218" s="226"/>
      <c r="M218" s="226"/>
      <c r="N218" s="226"/>
      <c r="O218" s="226"/>
      <c r="P218" s="727"/>
      <c r="Q218" s="720"/>
      <c r="R218" s="720"/>
      <c r="S218" s="720"/>
      <c r="T218" s="720"/>
      <c r="U218" s="720"/>
      <c r="V218" s="720"/>
      <c r="W218"/>
      <c r="X218"/>
      <c r="Y218"/>
      <c r="Z218"/>
      <c r="AA218"/>
    </row>
    <row r="219" spans="1:27" ht="12.75">
      <c r="A219" s="222" t="s">
        <v>542</v>
      </c>
      <c r="B219" s="303">
        <v>889101</v>
      </c>
      <c r="C219" s="421" t="s">
        <v>563</v>
      </c>
      <c r="D219" s="726" t="s">
        <v>874</v>
      </c>
      <c r="E219" s="223"/>
      <c r="F219" s="223">
        <f t="shared" si="4"/>
        <v>7000</v>
      </c>
      <c r="G219" s="226"/>
      <c r="H219" s="226"/>
      <c r="I219" s="226"/>
      <c r="J219" s="226">
        <v>7000</v>
      </c>
      <c r="K219" s="226"/>
      <c r="L219" s="226"/>
      <c r="M219" s="226"/>
      <c r="N219" s="226"/>
      <c r="O219" s="226"/>
      <c r="P219" s="727"/>
      <c r="Q219" s="720"/>
      <c r="R219" s="720"/>
      <c r="S219" s="720"/>
      <c r="T219" s="720"/>
      <c r="U219" s="720"/>
      <c r="V219" s="720"/>
      <c r="W219"/>
      <c r="X219"/>
      <c r="Y219"/>
      <c r="Z219"/>
      <c r="AA219"/>
    </row>
    <row r="220" spans="1:27" ht="12.75">
      <c r="A220" s="222"/>
      <c r="B220" s="303"/>
      <c r="C220" s="421"/>
      <c r="D220" s="726" t="s">
        <v>33</v>
      </c>
      <c r="E220" s="223"/>
      <c r="F220" s="223">
        <f t="shared" si="4"/>
        <v>7000</v>
      </c>
      <c r="G220" s="226"/>
      <c r="H220" s="226"/>
      <c r="I220" s="226"/>
      <c r="J220" s="226">
        <v>7000</v>
      </c>
      <c r="K220" s="226"/>
      <c r="L220" s="226"/>
      <c r="M220" s="226"/>
      <c r="N220" s="226"/>
      <c r="O220" s="226"/>
      <c r="P220" s="727"/>
      <c r="Q220" s="720"/>
      <c r="R220" s="720"/>
      <c r="S220" s="720"/>
      <c r="T220" s="720"/>
      <c r="U220" s="720"/>
      <c r="V220" s="720"/>
      <c r="W220"/>
      <c r="X220"/>
      <c r="Y220"/>
      <c r="Z220"/>
      <c r="AA220"/>
    </row>
    <row r="221" spans="1:27" ht="12.75">
      <c r="A221" s="222"/>
      <c r="B221" s="303"/>
      <c r="C221" s="421"/>
      <c r="D221" s="726" t="s">
        <v>321</v>
      </c>
      <c r="E221" s="223"/>
      <c r="F221" s="223">
        <f t="shared" si="4"/>
        <v>7000</v>
      </c>
      <c r="G221" s="226"/>
      <c r="H221" s="226"/>
      <c r="I221" s="226"/>
      <c r="J221" s="226">
        <v>7000</v>
      </c>
      <c r="K221" s="226"/>
      <c r="L221" s="226"/>
      <c r="M221" s="226"/>
      <c r="N221" s="226"/>
      <c r="O221" s="226"/>
      <c r="P221" s="727"/>
      <c r="Q221" s="720"/>
      <c r="R221" s="720"/>
      <c r="S221" s="720"/>
      <c r="T221" s="720"/>
      <c r="U221" s="720"/>
      <c r="V221" s="720"/>
      <c r="W221"/>
      <c r="X221"/>
      <c r="Y221"/>
      <c r="Z221"/>
      <c r="AA221"/>
    </row>
    <row r="222" spans="1:27" ht="12.75">
      <c r="A222" s="222" t="s">
        <v>543</v>
      </c>
      <c r="B222" s="303">
        <v>889923</v>
      </c>
      <c r="C222" s="421" t="s">
        <v>708</v>
      </c>
      <c r="D222" s="726" t="s">
        <v>874</v>
      </c>
      <c r="E222" s="223">
        <v>2470</v>
      </c>
      <c r="F222" s="223">
        <f t="shared" si="4"/>
        <v>0</v>
      </c>
      <c r="G222" s="226"/>
      <c r="H222" s="226"/>
      <c r="I222" s="226"/>
      <c r="J222" s="226"/>
      <c r="K222" s="226"/>
      <c r="L222" s="226"/>
      <c r="M222" s="226"/>
      <c r="N222" s="226"/>
      <c r="O222" s="226"/>
      <c r="P222" s="727"/>
      <c r="Q222" s="720"/>
      <c r="R222" s="720"/>
      <c r="S222" s="720"/>
      <c r="T222" s="720"/>
      <c r="U222" s="720"/>
      <c r="V222" s="720"/>
      <c r="W222"/>
      <c r="X222"/>
      <c r="Y222"/>
      <c r="Z222"/>
      <c r="AA222"/>
    </row>
    <row r="223" spans="1:27" ht="12.75">
      <c r="A223" s="222"/>
      <c r="B223" s="303"/>
      <c r="C223" s="421"/>
      <c r="D223" s="726" t="s">
        <v>33</v>
      </c>
      <c r="E223" s="223">
        <v>2470</v>
      </c>
      <c r="F223" s="223">
        <f t="shared" si="4"/>
        <v>0</v>
      </c>
      <c r="G223" s="226"/>
      <c r="H223" s="226"/>
      <c r="I223" s="226"/>
      <c r="J223" s="226"/>
      <c r="K223" s="226"/>
      <c r="L223" s="226"/>
      <c r="M223" s="226"/>
      <c r="N223" s="226"/>
      <c r="O223" s="226"/>
      <c r="P223" s="727"/>
      <c r="Q223" s="720"/>
      <c r="R223" s="720"/>
      <c r="S223" s="720"/>
      <c r="T223" s="720"/>
      <c r="U223" s="720"/>
      <c r="V223" s="720"/>
      <c r="W223"/>
      <c r="X223"/>
      <c r="Y223"/>
      <c r="Z223"/>
      <c r="AA223"/>
    </row>
    <row r="224" spans="1:27" ht="12.75">
      <c r="A224" s="222"/>
      <c r="B224" s="303"/>
      <c r="C224" s="421"/>
      <c r="D224" s="726" t="s">
        <v>321</v>
      </c>
      <c r="E224" s="223">
        <v>1224</v>
      </c>
      <c r="F224" s="223">
        <f t="shared" si="4"/>
        <v>0</v>
      </c>
      <c r="G224" s="226"/>
      <c r="H224" s="226"/>
      <c r="I224" s="226"/>
      <c r="J224" s="226"/>
      <c r="K224" s="226"/>
      <c r="L224" s="226"/>
      <c r="M224" s="226"/>
      <c r="N224" s="226"/>
      <c r="O224" s="226"/>
      <c r="P224" s="727"/>
      <c r="Q224" s="720"/>
      <c r="R224" s="720"/>
      <c r="S224" s="720"/>
      <c r="T224" s="720"/>
      <c r="U224" s="720"/>
      <c r="V224" s="720"/>
      <c r="W224"/>
      <c r="X224"/>
      <c r="Y224"/>
      <c r="Z224"/>
      <c r="AA224"/>
    </row>
    <row r="225" spans="1:27" ht="12.75">
      <c r="A225" s="222" t="s">
        <v>543</v>
      </c>
      <c r="B225" s="303">
        <v>889925</v>
      </c>
      <c r="C225" s="421" t="s">
        <v>709</v>
      </c>
      <c r="D225" s="726" t="s">
        <v>874</v>
      </c>
      <c r="E225" s="223">
        <v>14560</v>
      </c>
      <c r="F225" s="223">
        <f t="shared" si="4"/>
        <v>0</v>
      </c>
      <c r="G225" s="226"/>
      <c r="H225" s="226"/>
      <c r="I225" s="226"/>
      <c r="J225" s="226"/>
      <c r="K225" s="226"/>
      <c r="L225" s="226"/>
      <c r="M225" s="226"/>
      <c r="N225" s="226"/>
      <c r="O225" s="226"/>
      <c r="P225" s="727"/>
      <c r="Q225" s="720"/>
      <c r="R225" s="720"/>
      <c r="S225" s="720"/>
      <c r="T225" s="720"/>
      <c r="U225" s="720"/>
      <c r="V225" s="720"/>
      <c r="W225" s="229"/>
      <c r="X225" s="229"/>
      <c r="Y225" s="229"/>
      <c r="Z225" s="229"/>
      <c r="AA225" s="229"/>
    </row>
    <row r="226" spans="1:27" ht="12.75">
      <c r="A226" s="222"/>
      <c r="B226" s="303"/>
      <c r="C226" s="421"/>
      <c r="D226" s="726" t="s">
        <v>33</v>
      </c>
      <c r="E226" s="223">
        <v>14560</v>
      </c>
      <c r="F226" s="223">
        <f t="shared" si="4"/>
        <v>0</v>
      </c>
      <c r="G226" s="226"/>
      <c r="H226" s="226"/>
      <c r="I226" s="226"/>
      <c r="J226" s="226"/>
      <c r="K226" s="226"/>
      <c r="L226" s="226"/>
      <c r="M226" s="226"/>
      <c r="N226" s="226"/>
      <c r="O226" s="226"/>
      <c r="P226" s="727"/>
      <c r="Q226" s="720"/>
      <c r="R226" s="720"/>
      <c r="S226" s="720"/>
      <c r="T226" s="720"/>
      <c r="U226" s="720"/>
      <c r="V226" s="720"/>
      <c r="W226" s="229"/>
      <c r="X226" s="229"/>
      <c r="Y226" s="229"/>
      <c r="Z226" s="229"/>
      <c r="AA226" s="229"/>
    </row>
    <row r="227" spans="1:27" ht="12.75">
      <c r="A227" s="222"/>
      <c r="B227" s="303"/>
      <c r="C227" s="421"/>
      <c r="D227" s="726" t="s">
        <v>321</v>
      </c>
      <c r="E227" s="223">
        <v>14560</v>
      </c>
      <c r="F227" s="223">
        <f t="shared" si="4"/>
        <v>0</v>
      </c>
      <c r="G227" s="226"/>
      <c r="H227" s="226"/>
      <c r="I227" s="226"/>
      <c r="J227" s="226"/>
      <c r="K227" s="226"/>
      <c r="L227" s="226"/>
      <c r="M227" s="226"/>
      <c r="N227" s="226"/>
      <c r="O227" s="226"/>
      <c r="P227" s="727"/>
      <c r="Q227" s="720"/>
      <c r="R227" s="720"/>
      <c r="S227" s="720"/>
      <c r="T227" s="720"/>
      <c r="U227" s="720"/>
      <c r="V227" s="720"/>
      <c r="W227" s="229"/>
      <c r="X227" s="229"/>
      <c r="Y227" s="229"/>
      <c r="Z227" s="229"/>
      <c r="AA227" s="229"/>
    </row>
    <row r="228" spans="1:27" ht="12.75">
      <c r="A228" s="222" t="s">
        <v>543</v>
      </c>
      <c r="B228" s="303">
        <v>889926</v>
      </c>
      <c r="C228" s="421" t="s">
        <v>711</v>
      </c>
      <c r="D228" s="726" t="s">
        <v>874</v>
      </c>
      <c r="E228" s="223">
        <v>8000</v>
      </c>
      <c r="F228" s="223">
        <f t="shared" si="4"/>
        <v>0</v>
      </c>
      <c r="G228" s="226"/>
      <c r="H228" s="226"/>
      <c r="I228" s="226"/>
      <c r="J228" s="226"/>
      <c r="K228" s="226"/>
      <c r="L228" s="226"/>
      <c r="M228" s="226"/>
      <c r="N228" s="227"/>
      <c r="O228" s="226"/>
      <c r="P228" s="727"/>
      <c r="Q228" s="720"/>
      <c r="R228" s="720"/>
      <c r="S228" s="720"/>
      <c r="T228" s="720"/>
      <c r="U228" s="720"/>
      <c r="V228" s="720"/>
      <c r="W228" s="720"/>
      <c r="X228" s="720"/>
      <c r="Y228" s="720"/>
      <c r="Z228" s="720"/>
      <c r="AA228" s="720"/>
    </row>
    <row r="229" spans="1:27" ht="12.75">
      <c r="A229" s="222"/>
      <c r="B229" s="303"/>
      <c r="C229" s="421"/>
      <c r="D229" s="726" t="s">
        <v>33</v>
      </c>
      <c r="E229" s="223">
        <v>8000</v>
      </c>
      <c r="F229" s="223">
        <f t="shared" si="4"/>
        <v>0</v>
      </c>
      <c r="G229" s="226"/>
      <c r="H229" s="226"/>
      <c r="I229" s="226"/>
      <c r="J229" s="226"/>
      <c r="K229" s="226"/>
      <c r="L229" s="226"/>
      <c r="M229" s="226"/>
      <c r="N229" s="227"/>
      <c r="O229" s="226"/>
      <c r="P229" s="727"/>
      <c r="Q229" s="720"/>
      <c r="R229" s="720"/>
      <c r="S229" s="720"/>
      <c r="T229" s="720"/>
      <c r="U229" s="720"/>
      <c r="V229" s="720"/>
      <c r="W229" s="720"/>
      <c r="X229" s="720"/>
      <c r="Y229" s="720"/>
      <c r="Z229" s="720"/>
      <c r="AA229" s="720"/>
    </row>
    <row r="230" spans="1:27" ht="12.75">
      <c r="A230" s="222"/>
      <c r="B230" s="303"/>
      <c r="C230" s="421"/>
      <c r="D230" s="726" t="s">
        <v>321</v>
      </c>
      <c r="E230" s="223">
        <v>8000</v>
      </c>
      <c r="F230" s="223">
        <f t="shared" si="4"/>
        <v>20</v>
      </c>
      <c r="G230" s="226"/>
      <c r="H230" s="226"/>
      <c r="I230" s="226">
        <v>20</v>
      </c>
      <c r="J230" s="226"/>
      <c r="K230" s="226"/>
      <c r="L230" s="226"/>
      <c r="M230" s="226"/>
      <c r="N230" s="227"/>
      <c r="O230" s="226"/>
      <c r="P230" s="727"/>
      <c r="Q230" s="720"/>
      <c r="R230" s="720"/>
      <c r="S230" s="720"/>
      <c r="T230" s="720"/>
      <c r="U230" s="720"/>
      <c r="V230" s="720"/>
      <c r="W230" s="720"/>
      <c r="X230" s="720"/>
      <c r="Y230" s="720"/>
      <c r="Z230" s="720"/>
      <c r="AA230" s="720"/>
    </row>
    <row r="231" spans="1:27" ht="12.75">
      <c r="A231" s="222" t="s">
        <v>542</v>
      </c>
      <c r="B231" s="303">
        <v>889935</v>
      </c>
      <c r="C231" s="421" t="s">
        <v>710</v>
      </c>
      <c r="D231" s="726" t="s">
        <v>874</v>
      </c>
      <c r="E231" s="223"/>
      <c r="F231" s="223">
        <f t="shared" si="4"/>
        <v>0</v>
      </c>
      <c r="G231" s="226"/>
      <c r="H231" s="226"/>
      <c r="I231" s="226"/>
      <c r="J231" s="226"/>
      <c r="K231" s="226"/>
      <c r="L231" s="226"/>
      <c r="M231" s="226"/>
      <c r="N231" s="227"/>
      <c r="O231" s="226"/>
      <c r="P231" s="727"/>
      <c r="Q231" s="720"/>
      <c r="R231" s="720"/>
      <c r="S231" s="720"/>
      <c r="T231" s="720"/>
      <c r="U231" s="720"/>
      <c r="V231" s="720"/>
      <c r="W231" s="720"/>
      <c r="X231" s="720"/>
      <c r="Y231" s="720"/>
      <c r="Z231" s="720"/>
      <c r="AA231" s="720"/>
    </row>
    <row r="232" spans="1:27" ht="12.75">
      <c r="A232" s="222"/>
      <c r="B232" s="303"/>
      <c r="C232" s="421"/>
      <c r="D232" s="726" t="s">
        <v>33</v>
      </c>
      <c r="E232" s="223">
        <v>998</v>
      </c>
      <c r="F232" s="223">
        <f t="shared" si="4"/>
        <v>0</v>
      </c>
      <c r="G232" s="226"/>
      <c r="H232" s="226"/>
      <c r="I232" s="226"/>
      <c r="J232" s="226"/>
      <c r="K232" s="226"/>
      <c r="L232" s="226"/>
      <c r="M232" s="226"/>
      <c r="N232" s="227"/>
      <c r="O232" s="226"/>
      <c r="P232" s="727"/>
      <c r="Q232" s="720"/>
      <c r="R232" s="720"/>
      <c r="S232" s="720"/>
      <c r="T232" s="720"/>
      <c r="U232" s="720"/>
      <c r="V232" s="720"/>
      <c r="W232" s="720"/>
      <c r="X232" s="720"/>
      <c r="Y232" s="720"/>
      <c r="Z232" s="720"/>
      <c r="AA232" s="720"/>
    </row>
    <row r="233" spans="1:27" ht="12.75">
      <c r="A233" s="222"/>
      <c r="B233" s="303"/>
      <c r="C233" s="421"/>
      <c r="D233" s="726" t="s">
        <v>321</v>
      </c>
      <c r="E233" s="223">
        <v>998</v>
      </c>
      <c r="F233" s="223">
        <f t="shared" si="4"/>
        <v>0</v>
      </c>
      <c r="G233" s="226"/>
      <c r="H233" s="226"/>
      <c r="I233" s="226"/>
      <c r="J233" s="226"/>
      <c r="K233" s="226"/>
      <c r="L233" s="226"/>
      <c r="M233" s="226"/>
      <c r="N233" s="227"/>
      <c r="O233" s="226"/>
      <c r="P233" s="727"/>
      <c r="Q233" s="720"/>
      <c r="R233" s="720"/>
      <c r="S233" s="720"/>
      <c r="T233" s="720"/>
      <c r="U233" s="720"/>
      <c r="V233" s="720"/>
      <c r="W233" s="720"/>
      <c r="X233" s="720"/>
      <c r="Y233" s="720"/>
      <c r="Z233" s="720"/>
      <c r="AA233" s="720"/>
    </row>
    <row r="234" spans="1:27" ht="12.75">
      <c r="A234" s="222" t="s">
        <v>543</v>
      </c>
      <c r="B234" s="303">
        <v>889942</v>
      </c>
      <c r="C234" s="421" t="s">
        <v>712</v>
      </c>
      <c r="D234" s="726" t="s">
        <v>874</v>
      </c>
      <c r="E234" s="223">
        <v>2500</v>
      </c>
      <c r="F234" s="223">
        <f t="shared" si="4"/>
        <v>3500</v>
      </c>
      <c r="G234" s="226"/>
      <c r="H234" s="226"/>
      <c r="I234" s="226"/>
      <c r="J234" s="226"/>
      <c r="K234" s="226"/>
      <c r="L234" s="226"/>
      <c r="M234" s="226"/>
      <c r="N234" s="226">
        <v>3500</v>
      </c>
      <c r="O234" s="226"/>
      <c r="P234" s="727"/>
      <c r="Q234" s="720"/>
      <c r="R234" s="720"/>
      <c r="S234" s="720"/>
      <c r="T234" s="720"/>
      <c r="U234" s="720"/>
      <c r="V234" s="720"/>
      <c r="W234" s="229"/>
      <c r="X234" s="229"/>
      <c r="Y234" s="229"/>
      <c r="Z234" s="229"/>
      <c r="AA234" s="229"/>
    </row>
    <row r="235" spans="1:27" ht="12.75">
      <c r="A235" s="222"/>
      <c r="B235" s="303"/>
      <c r="C235" s="421"/>
      <c r="D235" s="726" t="s">
        <v>33</v>
      </c>
      <c r="E235" s="223">
        <v>2500</v>
      </c>
      <c r="F235" s="223">
        <f t="shared" si="4"/>
        <v>100</v>
      </c>
      <c r="G235" s="226"/>
      <c r="H235" s="226"/>
      <c r="I235" s="226"/>
      <c r="J235" s="226"/>
      <c r="K235" s="226"/>
      <c r="L235" s="226"/>
      <c r="M235" s="226"/>
      <c r="N235" s="226">
        <v>100</v>
      </c>
      <c r="O235" s="226"/>
      <c r="P235" s="727"/>
      <c r="Q235" s="720"/>
      <c r="R235" s="720"/>
      <c r="S235" s="720"/>
      <c r="T235" s="720"/>
      <c r="U235" s="720"/>
      <c r="V235" s="720"/>
      <c r="W235" s="229"/>
      <c r="X235" s="229"/>
      <c r="Y235" s="229"/>
      <c r="Z235" s="229"/>
      <c r="AA235" s="229"/>
    </row>
    <row r="236" spans="1:27" ht="12.75">
      <c r="A236" s="222"/>
      <c r="B236" s="303"/>
      <c r="C236" s="421"/>
      <c r="D236" s="726" t="s">
        <v>321</v>
      </c>
      <c r="E236" s="223">
        <v>2317</v>
      </c>
      <c r="F236" s="223">
        <f t="shared" si="4"/>
        <v>102</v>
      </c>
      <c r="G236" s="226"/>
      <c r="H236" s="226"/>
      <c r="I236" s="226">
        <v>2</v>
      </c>
      <c r="J236" s="226"/>
      <c r="K236" s="226"/>
      <c r="L236" s="226"/>
      <c r="M236" s="226"/>
      <c r="N236" s="226">
        <v>100</v>
      </c>
      <c r="O236" s="226"/>
      <c r="P236" s="727"/>
      <c r="Q236" s="720"/>
      <c r="R236" s="720"/>
      <c r="S236" s="720"/>
      <c r="T236" s="720"/>
      <c r="U236" s="720"/>
      <c r="V236" s="720"/>
      <c r="W236" s="229"/>
      <c r="X236" s="229"/>
      <c r="Y236" s="229"/>
      <c r="Z236" s="229"/>
      <c r="AA236" s="229"/>
    </row>
    <row r="237" spans="1:27" ht="13.5" customHeight="1">
      <c r="A237" s="222" t="s">
        <v>543</v>
      </c>
      <c r="B237" s="303">
        <v>890216</v>
      </c>
      <c r="C237" s="738" t="s">
        <v>713</v>
      </c>
      <c r="D237" s="726" t="s">
        <v>874</v>
      </c>
      <c r="E237" s="223"/>
      <c r="F237" s="223">
        <f t="shared" si="4"/>
        <v>12108</v>
      </c>
      <c r="G237" s="226"/>
      <c r="H237" s="226">
        <v>884</v>
      </c>
      <c r="I237" s="226">
        <v>6524</v>
      </c>
      <c r="J237" s="226">
        <v>700</v>
      </c>
      <c r="K237" s="226">
        <v>4000</v>
      </c>
      <c r="L237" s="226"/>
      <c r="M237" s="226"/>
      <c r="N237" s="226"/>
      <c r="O237" s="226"/>
      <c r="P237" s="727"/>
      <c r="Q237" s="720"/>
      <c r="R237" s="720"/>
      <c r="S237" s="720"/>
      <c r="T237" s="720"/>
      <c r="U237" s="720"/>
      <c r="V237" s="720"/>
      <c r="W237" s="229"/>
      <c r="X237" s="229"/>
      <c r="Y237" s="229"/>
      <c r="Z237" s="229"/>
      <c r="AA237" s="229"/>
    </row>
    <row r="238" spans="1:27" ht="12.75">
      <c r="A238" s="222"/>
      <c r="B238" s="303"/>
      <c r="C238" s="738"/>
      <c r="D238" s="726" t="s">
        <v>33</v>
      </c>
      <c r="E238" s="223"/>
      <c r="F238" s="223">
        <f t="shared" si="4"/>
        <v>14424</v>
      </c>
      <c r="G238" s="226">
        <v>856</v>
      </c>
      <c r="H238" s="226">
        <v>1594</v>
      </c>
      <c r="I238" s="226">
        <v>7274</v>
      </c>
      <c r="J238" s="226">
        <v>700</v>
      </c>
      <c r="K238" s="226">
        <v>4000</v>
      </c>
      <c r="L238" s="226"/>
      <c r="M238" s="226"/>
      <c r="N238" s="226"/>
      <c r="O238" s="226"/>
      <c r="P238" s="727"/>
      <c r="Q238" s="720"/>
      <c r="R238" s="720"/>
      <c r="S238" s="720"/>
      <c r="T238" s="720"/>
      <c r="U238" s="720"/>
      <c r="V238" s="720"/>
      <c r="W238" s="229"/>
      <c r="X238" s="229"/>
      <c r="Y238" s="229"/>
      <c r="Z238" s="229"/>
      <c r="AA238" s="229"/>
    </row>
    <row r="239" spans="1:27" ht="12.75">
      <c r="A239" s="222"/>
      <c r="B239" s="303"/>
      <c r="C239" s="738"/>
      <c r="D239" s="726" t="s">
        <v>321</v>
      </c>
      <c r="E239" s="223"/>
      <c r="F239" s="223">
        <f t="shared" si="4"/>
        <v>11427</v>
      </c>
      <c r="G239" s="226">
        <v>856</v>
      </c>
      <c r="H239" s="226">
        <v>1592</v>
      </c>
      <c r="I239" s="226">
        <v>6049</v>
      </c>
      <c r="J239" s="226">
        <v>468</v>
      </c>
      <c r="K239" s="226">
        <v>2462</v>
      </c>
      <c r="L239" s="226"/>
      <c r="M239" s="226"/>
      <c r="N239" s="226"/>
      <c r="O239" s="226"/>
      <c r="P239" s="727"/>
      <c r="Q239" s="720"/>
      <c r="R239" s="720"/>
      <c r="S239" s="720"/>
      <c r="T239" s="720"/>
      <c r="U239" s="720"/>
      <c r="V239" s="720"/>
      <c r="W239" s="229"/>
      <c r="X239" s="229"/>
      <c r="Y239" s="229"/>
      <c r="Z239" s="229"/>
      <c r="AA239" s="229"/>
    </row>
    <row r="240" spans="1:22" ht="12.75">
      <c r="A240" s="221" t="s">
        <v>542</v>
      </c>
      <c r="B240" s="303">
        <v>890441</v>
      </c>
      <c r="C240" s="421" t="s">
        <v>652</v>
      </c>
      <c r="D240" s="726" t="s">
        <v>874</v>
      </c>
      <c r="E240" s="223"/>
      <c r="F240" s="223">
        <f t="shared" si="4"/>
        <v>0</v>
      </c>
      <c r="G240" s="224"/>
      <c r="H240" s="224"/>
      <c r="I240" s="224"/>
      <c r="J240" s="224"/>
      <c r="K240" s="224"/>
      <c r="L240" s="224"/>
      <c r="M240" s="224"/>
      <c r="N240" s="224"/>
      <c r="O240" s="224"/>
      <c r="P240" s="730"/>
      <c r="Q240" s="237"/>
      <c r="R240" s="237"/>
      <c r="S240" s="237"/>
      <c r="T240" s="237"/>
      <c r="U240" s="237"/>
      <c r="V240" s="237"/>
    </row>
    <row r="241" spans="1:27" ht="12.75">
      <c r="A241" s="221"/>
      <c r="B241" s="303"/>
      <c r="C241" s="421"/>
      <c r="D241" s="726" t="s">
        <v>33</v>
      </c>
      <c r="E241" s="223">
        <v>3400</v>
      </c>
      <c r="F241" s="223">
        <f t="shared" si="4"/>
        <v>3400</v>
      </c>
      <c r="G241" s="224">
        <v>3000</v>
      </c>
      <c r="H241" s="224">
        <v>400</v>
      </c>
      <c r="I241" s="224"/>
      <c r="J241" s="224"/>
      <c r="K241" s="224"/>
      <c r="L241" s="224"/>
      <c r="M241" s="224"/>
      <c r="N241" s="224"/>
      <c r="O241" s="224"/>
      <c r="P241" s="730"/>
      <c r="Q241" s="237"/>
      <c r="R241" s="237"/>
      <c r="S241" s="237"/>
      <c r="T241" s="237"/>
      <c r="U241" s="237"/>
      <c r="V241" s="237"/>
      <c r="W241"/>
      <c r="X241"/>
      <c r="Y241"/>
      <c r="Z241"/>
      <c r="AA241"/>
    </row>
    <row r="242" spans="1:27" ht="12.75">
      <c r="A242" s="221"/>
      <c r="B242" s="303"/>
      <c r="C242" s="421"/>
      <c r="D242" s="726" t="s">
        <v>321</v>
      </c>
      <c r="E242" s="223">
        <v>3333</v>
      </c>
      <c r="F242" s="223">
        <f t="shared" si="4"/>
        <v>3334</v>
      </c>
      <c r="G242" s="224">
        <v>2937</v>
      </c>
      <c r="H242" s="224">
        <v>397</v>
      </c>
      <c r="I242" s="224"/>
      <c r="J242" s="224"/>
      <c r="K242" s="224"/>
      <c r="L242" s="224"/>
      <c r="M242" s="224"/>
      <c r="N242" s="224"/>
      <c r="O242" s="224"/>
      <c r="P242" s="730"/>
      <c r="Q242" s="237"/>
      <c r="R242" s="237"/>
      <c r="S242" s="237"/>
      <c r="T242" s="237"/>
      <c r="U242" s="237"/>
      <c r="V242" s="237"/>
      <c r="W242"/>
      <c r="X242"/>
      <c r="Y242"/>
      <c r="Z242"/>
      <c r="AA242"/>
    </row>
    <row r="243" spans="1:27" ht="12.75">
      <c r="A243" s="221" t="s">
        <v>542</v>
      </c>
      <c r="B243" s="303">
        <v>890442</v>
      </c>
      <c r="C243" s="421" t="s">
        <v>715</v>
      </c>
      <c r="D243" s="726" t="s">
        <v>874</v>
      </c>
      <c r="E243" s="223">
        <v>40380</v>
      </c>
      <c r="F243" s="223">
        <f t="shared" si="4"/>
        <v>44700</v>
      </c>
      <c r="G243" s="224">
        <v>38062</v>
      </c>
      <c r="H243" s="224">
        <v>5138</v>
      </c>
      <c r="I243" s="224">
        <v>1500</v>
      </c>
      <c r="J243" s="224"/>
      <c r="K243" s="224"/>
      <c r="L243" s="224"/>
      <c r="M243" s="224"/>
      <c r="N243" s="224"/>
      <c r="O243" s="224"/>
      <c r="P243" s="730"/>
      <c r="Q243" s="237"/>
      <c r="R243" s="237"/>
      <c r="S243" s="237"/>
      <c r="T243" s="237"/>
      <c r="U243" s="237"/>
      <c r="V243" s="237"/>
      <c r="W243"/>
      <c r="X243"/>
      <c r="Y243"/>
      <c r="Z243"/>
      <c r="AA243"/>
    </row>
    <row r="244" spans="1:27" ht="12.75">
      <c r="A244" s="221"/>
      <c r="B244" s="303"/>
      <c r="C244" s="421"/>
      <c r="D244" s="726" t="s">
        <v>33</v>
      </c>
      <c r="E244" s="223">
        <v>29148</v>
      </c>
      <c r="F244" s="223">
        <f t="shared" si="4"/>
        <v>31745</v>
      </c>
      <c r="G244" s="224">
        <v>25821</v>
      </c>
      <c r="H244" s="224">
        <v>3564</v>
      </c>
      <c r="I244" s="224">
        <v>2360</v>
      </c>
      <c r="J244" s="224"/>
      <c r="K244" s="224"/>
      <c r="L244" s="224"/>
      <c r="M244" s="224"/>
      <c r="N244" s="224"/>
      <c r="O244" s="224"/>
      <c r="P244" s="730"/>
      <c r="Q244" s="237"/>
      <c r="R244" s="237"/>
      <c r="S244" s="237"/>
      <c r="T244" s="237"/>
      <c r="U244" s="237"/>
      <c r="V244" s="237"/>
      <c r="W244"/>
      <c r="X244"/>
      <c r="Y244"/>
      <c r="Z244"/>
      <c r="AA244"/>
    </row>
    <row r="245" spans="1:27" ht="12.75">
      <c r="A245" s="221"/>
      <c r="B245" s="303"/>
      <c r="C245" s="421"/>
      <c r="D245" s="726" t="s">
        <v>321</v>
      </c>
      <c r="E245" s="223">
        <v>27174</v>
      </c>
      <c r="F245" s="223">
        <f t="shared" si="4"/>
        <v>31528</v>
      </c>
      <c r="G245" s="224">
        <v>25630</v>
      </c>
      <c r="H245" s="224">
        <v>3540</v>
      </c>
      <c r="I245" s="224">
        <v>2358</v>
      </c>
      <c r="J245" s="224"/>
      <c r="K245" s="224"/>
      <c r="L245" s="224"/>
      <c r="M245" s="224"/>
      <c r="N245" s="224"/>
      <c r="O245" s="224"/>
      <c r="P245" s="730"/>
      <c r="Q245" s="237"/>
      <c r="R245" s="237"/>
      <c r="S245" s="237"/>
      <c r="T245" s="237"/>
      <c r="U245" s="237"/>
      <c r="V245" s="237"/>
      <c r="W245"/>
      <c r="X245"/>
      <c r="Y245"/>
      <c r="Z245"/>
      <c r="AA245"/>
    </row>
    <row r="246" spans="1:27" ht="12.75">
      <c r="A246" s="222" t="s">
        <v>542</v>
      </c>
      <c r="B246" s="303">
        <v>910501</v>
      </c>
      <c r="C246" s="421" t="s">
        <v>716</v>
      </c>
      <c r="D246" s="726" t="s">
        <v>874</v>
      </c>
      <c r="E246" s="223">
        <v>2000</v>
      </c>
      <c r="F246" s="223">
        <f t="shared" si="4"/>
        <v>131604</v>
      </c>
      <c r="G246" s="226"/>
      <c r="H246" s="226"/>
      <c r="I246" s="226"/>
      <c r="J246" s="226">
        <v>129604</v>
      </c>
      <c r="K246" s="226"/>
      <c r="L246" s="226"/>
      <c r="M246" s="226"/>
      <c r="N246" s="226">
        <v>2000</v>
      </c>
      <c r="O246" s="226"/>
      <c r="P246" s="727"/>
      <c r="Q246" s="720"/>
      <c r="R246" s="720"/>
      <c r="S246" s="720"/>
      <c r="T246" s="720"/>
      <c r="U246" s="720"/>
      <c r="V246" s="720"/>
      <c r="W246"/>
      <c r="X246"/>
      <c r="Y246"/>
      <c r="Z246"/>
      <c r="AA246"/>
    </row>
    <row r="247" spans="1:27" ht="12.75">
      <c r="A247" s="222"/>
      <c r="B247" s="303"/>
      <c r="C247" s="421"/>
      <c r="D247" s="726" t="s">
        <v>33</v>
      </c>
      <c r="E247" s="223">
        <v>2000</v>
      </c>
      <c r="F247" s="223">
        <f t="shared" si="4"/>
        <v>154727</v>
      </c>
      <c r="G247" s="226">
        <v>244</v>
      </c>
      <c r="H247" s="226">
        <v>414</v>
      </c>
      <c r="I247" s="226">
        <v>2814</v>
      </c>
      <c r="J247" s="226">
        <v>147885</v>
      </c>
      <c r="K247" s="226"/>
      <c r="L247" s="226"/>
      <c r="M247" s="226">
        <v>1370</v>
      </c>
      <c r="N247" s="226">
        <v>2000</v>
      </c>
      <c r="O247" s="226"/>
      <c r="P247" s="727"/>
      <c r="Q247" s="720"/>
      <c r="R247" s="720"/>
      <c r="S247" s="720"/>
      <c r="T247" s="720"/>
      <c r="U247" s="720"/>
      <c r="V247" s="720"/>
      <c r="W247"/>
      <c r="X247"/>
      <c r="Y247"/>
      <c r="Z247"/>
      <c r="AA247"/>
    </row>
    <row r="248" spans="1:27" ht="12.75">
      <c r="A248" s="222"/>
      <c r="B248" s="303"/>
      <c r="C248" s="421"/>
      <c r="D248" s="726" t="s">
        <v>321</v>
      </c>
      <c r="E248" s="223">
        <v>2000</v>
      </c>
      <c r="F248" s="223">
        <f t="shared" si="4"/>
        <v>154632</v>
      </c>
      <c r="G248" s="226">
        <v>244</v>
      </c>
      <c r="H248" s="226">
        <v>319</v>
      </c>
      <c r="I248" s="226">
        <v>2814</v>
      </c>
      <c r="J248" s="226">
        <v>147885</v>
      </c>
      <c r="K248" s="226"/>
      <c r="L248" s="226"/>
      <c r="M248" s="226">
        <v>1370</v>
      </c>
      <c r="N248" s="226">
        <v>2000</v>
      </c>
      <c r="O248" s="226"/>
      <c r="P248" s="727"/>
      <c r="Q248" s="720"/>
      <c r="R248" s="720"/>
      <c r="S248" s="720"/>
      <c r="T248" s="720"/>
      <c r="U248" s="720"/>
      <c r="V248" s="720"/>
      <c r="W248"/>
      <c r="X248"/>
      <c r="Y248"/>
      <c r="Z248"/>
      <c r="AA248"/>
    </row>
    <row r="249" spans="1:27" ht="12.75">
      <c r="A249" s="222" t="s">
        <v>542</v>
      </c>
      <c r="B249" s="303">
        <v>890502</v>
      </c>
      <c r="C249" s="421" t="s">
        <v>725</v>
      </c>
      <c r="D249" s="726" t="s">
        <v>874</v>
      </c>
      <c r="E249" s="223"/>
      <c r="F249" s="223">
        <f t="shared" si="4"/>
        <v>0</v>
      </c>
      <c r="G249" s="226"/>
      <c r="H249" s="226"/>
      <c r="I249" s="226"/>
      <c r="J249" s="226"/>
      <c r="K249" s="226"/>
      <c r="L249" s="226"/>
      <c r="M249" s="226"/>
      <c r="N249" s="226"/>
      <c r="O249" s="226"/>
      <c r="P249" s="727"/>
      <c r="Q249" s="720"/>
      <c r="R249" s="720"/>
      <c r="S249" s="720"/>
      <c r="T249" s="720"/>
      <c r="U249" s="720"/>
      <c r="V249" s="720"/>
      <c r="W249"/>
      <c r="X249"/>
      <c r="Y249"/>
      <c r="Z249"/>
      <c r="AA249"/>
    </row>
    <row r="250" spans="1:27" ht="12.75">
      <c r="A250" s="222"/>
      <c r="B250" s="303"/>
      <c r="C250" s="421"/>
      <c r="D250" s="726" t="s">
        <v>33</v>
      </c>
      <c r="E250" s="223">
        <v>13723</v>
      </c>
      <c r="F250" s="223">
        <f t="shared" si="4"/>
        <v>14365</v>
      </c>
      <c r="G250" s="226">
        <v>13780</v>
      </c>
      <c r="H250" s="226">
        <v>585</v>
      </c>
      <c r="I250" s="226"/>
      <c r="J250" s="226"/>
      <c r="K250" s="226"/>
      <c r="L250" s="226"/>
      <c r="M250" s="226"/>
      <c r="N250" s="226"/>
      <c r="O250" s="226"/>
      <c r="P250" s="727"/>
      <c r="Q250" s="720"/>
      <c r="R250" s="720"/>
      <c r="S250" s="720"/>
      <c r="T250" s="720"/>
      <c r="U250" s="720"/>
      <c r="V250" s="720"/>
      <c r="W250"/>
      <c r="X250"/>
      <c r="Y250"/>
      <c r="Z250"/>
      <c r="AA250"/>
    </row>
    <row r="251" spans="1:27" ht="12.75">
      <c r="A251" s="222"/>
      <c r="B251" s="303"/>
      <c r="C251" s="421"/>
      <c r="D251" s="726" t="s">
        <v>321</v>
      </c>
      <c r="E251" s="223">
        <v>13641</v>
      </c>
      <c r="F251" s="223">
        <f t="shared" si="4"/>
        <v>14234</v>
      </c>
      <c r="G251" s="226">
        <v>13699</v>
      </c>
      <c r="H251" s="226">
        <v>535</v>
      </c>
      <c r="I251" s="226"/>
      <c r="J251" s="226"/>
      <c r="K251" s="226"/>
      <c r="L251" s="226"/>
      <c r="M251" s="226"/>
      <c r="N251" s="226"/>
      <c r="O251" s="226"/>
      <c r="P251" s="727"/>
      <c r="Q251" s="720"/>
      <c r="R251" s="720"/>
      <c r="S251" s="720"/>
      <c r="T251" s="720"/>
      <c r="U251" s="720"/>
      <c r="V251" s="720"/>
      <c r="W251"/>
      <c r="X251"/>
      <c r="Y251"/>
      <c r="Z251"/>
      <c r="AA251"/>
    </row>
    <row r="252" spans="1:27" ht="12.75">
      <c r="A252" s="222" t="s">
        <v>543</v>
      </c>
      <c r="B252" s="303">
        <v>931202</v>
      </c>
      <c r="C252" s="421" t="s">
        <v>717</v>
      </c>
      <c r="D252" s="726" t="s">
        <v>874</v>
      </c>
      <c r="E252" s="223"/>
      <c r="F252" s="223">
        <f t="shared" si="4"/>
        <v>1000</v>
      </c>
      <c r="G252" s="226"/>
      <c r="H252" s="226"/>
      <c r="I252" s="226"/>
      <c r="J252" s="226">
        <v>1000</v>
      </c>
      <c r="K252" s="226"/>
      <c r="L252" s="226"/>
      <c r="M252" s="226"/>
      <c r="N252" s="226"/>
      <c r="O252" s="226"/>
      <c r="P252" s="727"/>
      <c r="Q252" s="720"/>
      <c r="R252" s="720"/>
      <c r="S252" s="720"/>
      <c r="T252" s="720"/>
      <c r="U252" s="720"/>
      <c r="V252" s="720"/>
      <c r="W252"/>
      <c r="X252"/>
      <c r="Y252"/>
      <c r="Z252"/>
      <c r="AA252"/>
    </row>
    <row r="253" spans="1:27" ht="12.75">
      <c r="A253" s="222"/>
      <c r="B253" s="303"/>
      <c r="C253" s="421"/>
      <c r="D253" s="726" t="s">
        <v>33</v>
      </c>
      <c r="E253" s="223"/>
      <c r="F253" s="223">
        <f t="shared" si="4"/>
        <v>4500</v>
      </c>
      <c r="G253" s="226"/>
      <c r="H253" s="226"/>
      <c r="I253" s="226"/>
      <c r="J253" s="226">
        <v>4500</v>
      </c>
      <c r="K253" s="226"/>
      <c r="L253" s="226"/>
      <c r="M253" s="226"/>
      <c r="N253" s="226"/>
      <c r="O253" s="226"/>
      <c r="P253" s="727"/>
      <c r="Q253" s="720"/>
      <c r="R253" s="720"/>
      <c r="S253" s="720"/>
      <c r="T253" s="720"/>
      <c r="U253" s="720"/>
      <c r="V253" s="720"/>
      <c r="W253"/>
      <c r="X253"/>
      <c r="Y253"/>
      <c r="Z253"/>
      <c r="AA253"/>
    </row>
    <row r="254" spans="1:27" ht="12.75">
      <c r="A254" s="222"/>
      <c r="B254" s="303"/>
      <c r="C254" s="421"/>
      <c r="D254" s="726" t="s">
        <v>321</v>
      </c>
      <c r="E254" s="223"/>
      <c r="F254" s="223">
        <f t="shared" si="4"/>
        <v>4500</v>
      </c>
      <c r="G254" s="226"/>
      <c r="H254" s="226"/>
      <c r="I254" s="226"/>
      <c r="J254" s="226">
        <v>4500</v>
      </c>
      <c r="K254" s="226"/>
      <c r="L254" s="226"/>
      <c r="M254" s="226"/>
      <c r="N254" s="226"/>
      <c r="O254" s="226"/>
      <c r="P254" s="727"/>
      <c r="Q254" s="720"/>
      <c r="R254" s="720"/>
      <c r="S254" s="720"/>
      <c r="T254" s="720"/>
      <c r="U254" s="720"/>
      <c r="V254" s="720"/>
      <c r="W254"/>
      <c r="X254"/>
      <c r="Y254"/>
      <c r="Z254"/>
      <c r="AA254"/>
    </row>
    <row r="255" spans="1:27" ht="12.75">
      <c r="A255" s="222" t="s">
        <v>543</v>
      </c>
      <c r="B255" s="303">
        <v>931903</v>
      </c>
      <c r="C255" s="421" t="s">
        <v>718</v>
      </c>
      <c r="D255" s="726" t="s">
        <v>874</v>
      </c>
      <c r="E255" s="223">
        <v>1000</v>
      </c>
      <c r="F255" s="223">
        <f t="shared" si="4"/>
        <v>50945</v>
      </c>
      <c r="G255" s="226"/>
      <c r="H255" s="226">
        <v>1285</v>
      </c>
      <c r="I255" s="226">
        <v>6260</v>
      </c>
      <c r="J255" s="226">
        <v>43400</v>
      </c>
      <c r="K255" s="226"/>
      <c r="L255" s="226"/>
      <c r="M255" s="226"/>
      <c r="N255" s="226"/>
      <c r="O255" s="226"/>
      <c r="P255" s="727"/>
      <c r="Q255" s="720"/>
      <c r="R255" s="720"/>
      <c r="S255" s="720"/>
      <c r="T255" s="720"/>
      <c r="U255" s="720"/>
      <c r="V255" s="720"/>
      <c r="W255"/>
      <c r="X255"/>
      <c r="Y255"/>
      <c r="Z255"/>
      <c r="AA255"/>
    </row>
    <row r="256" spans="1:27" ht="12.75">
      <c r="A256" s="222"/>
      <c r="B256" s="303"/>
      <c r="C256" s="421"/>
      <c r="D256" s="726" t="s">
        <v>33</v>
      </c>
      <c r="E256" s="223"/>
      <c r="F256" s="223">
        <f t="shared" si="4"/>
        <v>74668</v>
      </c>
      <c r="G256" s="226"/>
      <c r="H256" s="226">
        <v>1285</v>
      </c>
      <c r="I256" s="226">
        <v>6699</v>
      </c>
      <c r="J256" s="226">
        <v>66484</v>
      </c>
      <c r="K256" s="226"/>
      <c r="L256" s="226"/>
      <c r="M256" s="226">
        <v>200</v>
      </c>
      <c r="N256" s="226"/>
      <c r="O256" s="226"/>
      <c r="P256" s="727"/>
      <c r="Q256" s="720"/>
      <c r="R256" s="720"/>
      <c r="S256" s="720"/>
      <c r="T256" s="720"/>
      <c r="U256" s="720"/>
      <c r="V256" s="720"/>
      <c r="W256"/>
      <c r="X256"/>
      <c r="Y256"/>
      <c r="Z256"/>
      <c r="AA256"/>
    </row>
    <row r="257" spans="1:27" ht="12.75">
      <c r="A257" s="222"/>
      <c r="B257" s="303"/>
      <c r="C257" s="421"/>
      <c r="D257" s="726" t="s">
        <v>321</v>
      </c>
      <c r="E257" s="223">
        <v>141</v>
      </c>
      <c r="F257" s="223">
        <f t="shared" si="4"/>
        <v>73509</v>
      </c>
      <c r="G257" s="226"/>
      <c r="H257" s="226">
        <v>1005</v>
      </c>
      <c r="I257" s="226">
        <v>6020</v>
      </c>
      <c r="J257" s="226">
        <v>66484</v>
      </c>
      <c r="K257" s="226"/>
      <c r="L257" s="226"/>
      <c r="M257" s="226"/>
      <c r="N257" s="226"/>
      <c r="O257" s="226"/>
      <c r="P257" s="727"/>
      <c r="Q257" s="720"/>
      <c r="R257" s="720"/>
      <c r="S257" s="720"/>
      <c r="T257" s="720"/>
      <c r="U257" s="720"/>
      <c r="V257" s="720"/>
      <c r="W257"/>
      <c r="X257"/>
      <c r="Y257"/>
      <c r="Z257"/>
      <c r="AA257"/>
    </row>
    <row r="258" spans="1:27" ht="12.75">
      <c r="A258" s="222" t="s">
        <v>543</v>
      </c>
      <c r="B258" s="303">
        <v>932911</v>
      </c>
      <c r="C258" s="421" t="s">
        <v>719</v>
      </c>
      <c r="D258" s="726" t="s">
        <v>874</v>
      </c>
      <c r="E258" s="223"/>
      <c r="F258" s="223">
        <f t="shared" si="4"/>
        <v>27291</v>
      </c>
      <c r="G258" s="226"/>
      <c r="H258" s="226"/>
      <c r="I258" s="226">
        <v>20300</v>
      </c>
      <c r="J258" s="226"/>
      <c r="K258" s="226"/>
      <c r="L258" s="226"/>
      <c r="M258" s="226">
        <v>4191</v>
      </c>
      <c r="N258" s="226">
        <v>2800</v>
      </c>
      <c r="O258" s="226"/>
      <c r="P258" s="727"/>
      <c r="Q258" s="720"/>
      <c r="R258" s="720"/>
      <c r="S258" s="720"/>
      <c r="T258" s="720"/>
      <c r="U258" s="720"/>
      <c r="V258" s="720"/>
      <c r="W258"/>
      <c r="X258"/>
      <c r="Y258"/>
      <c r="Z258"/>
      <c r="AA258"/>
    </row>
    <row r="259" spans="1:27" ht="12.75">
      <c r="A259" s="222"/>
      <c r="B259" s="303"/>
      <c r="C259" s="421"/>
      <c r="D259" s="726" t="s">
        <v>33</v>
      </c>
      <c r="E259" s="223"/>
      <c r="F259" s="223">
        <f t="shared" si="4"/>
        <v>48599</v>
      </c>
      <c r="G259" s="226"/>
      <c r="H259" s="226"/>
      <c r="I259" s="226">
        <v>18676</v>
      </c>
      <c r="J259" s="226"/>
      <c r="K259" s="226"/>
      <c r="L259" s="226"/>
      <c r="M259" s="226">
        <v>19815</v>
      </c>
      <c r="N259" s="226">
        <v>10108</v>
      </c>
      <c r="O259" s="226"/>
      <c r="P259" s="727"/>
      <c r="Q259" s="720"/>
      <c r="R259" s="720"/>
      <c r="S259" s="720"/>
      <c r="T259" s="720"/>
      <c r="U259" s="720"/>
      <c r="V259" s="720"/>
      <c r="W259"/>
      <c r="X259"/>
      <c r="Y259"/>
      <c r="Z259"/>
      <c r="AA259"/>
    </row>
    <row r="260" spans="1:27" ht="12.75">
      <c r="A260" s="222"/>
      <c r="B260" s="303"/>
      <c r="C260" s="421"/>
      <c r="D260" s="726" t="s">
        <v>321</v>
      </c>
      <c r="E260" s="223">
        <v>2</v>
      </c>
      <c r="F260" s="223">
        <f t="shared" si="4"/>
        <v>39405</v>
      </c>
      <c r="G260" s="226"/>
      <c r="H260" s="226"/>
      <c r="I260" s="226">
        <v>12736</v>
      </c>
      <c r="J260" s="226"/>
      <c r="K260" s="226"/>
      <c r="L260" s="226"/>
      <c r="M260" s="226">
        <v>16561</v>
      </c>
      <c r="N260" s="226">
        <v>10108</v>
      </c>
      <c r="O260" s="226"/>
      <c r="P260" s="727"/>
      <c r="Q260" s="720"/>
      <c r="R260" s="720"/>
      <c r="S260" s="720"/>
      <c r="T260" s="720"/>
      <c r="U260" s="720"/>
      <c r="V260" s="720"/>
      <c r="W260"/>
      <c r="X260"/>
      <c r="Y260"/>
      <c r="Z260"/>
      <c r="AA260"/>
    </row>
    <row r="261" spans="1:27" ht="12.75">
      <c r="A261" s="222" t="s">
        <v>543</v>
      </c>
      <c r="B261" s="303">
        <v>940000</v>
      </c>
      <c r="C261" s="421" t="s">
        <v>720</v>
      </c>
      <c r="D261" s="726" t="s">
        <v>874</v>
      </c>
      <c r="E261" s="223"/>
      <c r="F261" s="223">
        <f t="shared" si="4"/>
        <v>31376</v>
      </c>
      <c r="G261" s="226"/>
      <c r="H261" s="226"/>
      <c r="I261" s="226"/>
      <c r="J261" s="226">
        <v>31376</v>
      </c>
      <c r="K261" s="226"/>
      <c r="L261" s="226"/>
      <c r="M261" s="226"/>
      <c r="N261" s="227"/>
      <c r="O261" s="226"/>
      <c r="P261" s="727"/>
      <c r="Q261" s="720"/>
      <c r="R261" s="720"/>
      <c r="S261" s="720"/>
      <c r="T261" s="720"/>
      <c r="U261" s="720"/>
      <c r="V261" s="720"/>
      <c r="W261"/>
      <c r="X261"/>
      <c r="Y261"/>
      <c r="Z261"/>
      <c r="AA261"/>
    </row>
    <row r="262" spans="1:27" ht="12.75">
      <c r="A262" s="222"/>
      <c r="B262" s="303"/>
      <c r="C262" s="421"/>
      <c r="D262" s="726" t="s">
        <v>33</v>
      </c>
      <c r="E262" s="223">
        <v>2291</v>
      </c>
      <c r="F262" s="223">
        <f t="shared" si="4"/>
        <v>30128</v>
      </c>
      <c r="G262" s="226"/>
      <c r="H262" s="226"/>
      <c r="I262" s="226"/>
      <c r="J262" s="226">
        <v>30128</v>
      </c>
      <c r="K262" s="226"/>
      <c r="L262" s="226"/>
      <c r="M262" s="226"/>
      <c r="N262" s="227"/>
      <c r="O262" s="226"/>
      <c r="P262" s="727"/>
      <c r="Q262" s="720"/>
      <c r="R262" s="720"/>
      <c r="S262" s="720"/>
      <c r="T262" s="720"/>
      <c r="U262" s="720"/>
      <c r="V262" s="720"/>
      <c r="W262"/>
      <c r="X262"/>
      <c r="Y262"/>
      <c r="Z262"/>
      <c r="AA262"/>
    </row>
    <row r="263" spans="1:27" ht="12.75">
      <c r="A263" s="222"/>
      <c r="B263" s="303"/>
      <c r="C263" s="421"/>
      <c r="D263" s="726" t="s">
        <v>321</v>
      </c>
      <c r="E263" s="223">
        <v>2291</v>
      </c>
      <c r="F263" s="223">
        <f t="shared" si="4"/>
        <v>30126</v>
      </c>
      <c r="G263" s="226"/>
      <c r="H263" s="226"/>
      <c r="I263" s="226"/>
      <c r="J263" s="226">
        <v>30126</v>
      </c>
      <c r="K263" s="226"/>
      <c r="L263" s="226"/>
      <c r="M263" s="226"/>
      <c r="N263" s="227"/>
      <c r="O263" s="226"/>
      <c r="P263" s="727"/>
      <c r="Q263" s="720"/>
      <c r="R263" s="720"/>
      <c r="S263" s="720"/>
      <c r="T263" s="720"/>
      <c r="U263" s="720"/>
      <c r="V263" s="720"/>
      <c r="W263"/>
      <c r="X263"/>
      <c r="Y263"/>
      <c r="Z263"/>
      <c r="AA263"/>
    </row>
    <row r="264" spans="1:27" ht="12.75">
      <c r="A264" s="222" t="s">
        <v>542</v>
      </c>
      <c r="B264" s="303">
        <v>960302</v>
      </c>
      <c r="C264" s="421" t="s">
        <v>721</v>
      </c>
      <c r="D264" s="726" t="s">
        <v>874</v>
      </c>
      <c r="E264" s="223">
        <v>6961</v>
      </c>
      <c r="F264" s="223">
        <f t="shared" si="4"/>
        <v>14541</v>
      </c>
      <c r="G264" s="224"/>
      <c r="H264" s="224"/>
      <c r="I264" s="224">
        <v>14541</v>
      </c>
      <c r="J264" s="224"/>
      <c r="K264" s="224"/>
      <c r="L264" s="224"/>
      <c r="M264" s="224"/>
      <c r="N264" s="224"/>
      <c r="O264" s="224"/>
      <c r="P264" s="727"/>
      <c r="Q264" s="720"/>
      <c r="R264" s="720"/>
      <c r="S264" s="720"/>
      <c r="T264" s="720"/>
      <c r="U264" s="720"/>
      <c r="V264" s="720"/>
      <c r="W264"/>
      <c r="X264"/>
      <c r="Y264"/>
      <c r="Z264"/>
      <c r="AA264"/>
    </row>
    <row r="265" spans="1:27" ht="12.75">
      <c r="A265" s="222"/>
      <c r="B265" s="303"/>
      <c r="C265" s="421"/>
      <c r="D265" s="726" t="s">
        <v>33</v>
      </c>
      <c r="E265" s="223">
        <v>8598</v>
      </c>
      <c r="F265" s="223">
        <f t="shared" si="4"/>
        <v>14541</v>
      </c>
      <c r="G265" s="224"/>
      <c r="H265" s="224"/>
      <c r="I265" s="224">
        <v>14541</v>
      </c>
      <c r="J265" s="224"/>
      <c r="K265" s="224"/>
      <c r="L265" s="224"/>
      <c r="M265" s="224"/>
      <c r="N265" s="224"/>
      <c r="O265" s="224"/>
      <c r="P265" s="727"/>
      <c r="Q265" s="720"/>
      <c r="R265" s="720"/>
      <c r="S265" s="720"/>
      <c r="T265" s="720"/>
      <c r="U265" s="720"/>
      <c r="V265" s="720"/>
      <c r="W265"/>
      <c r="X265"/>
      <c r="Y265"/>
      <c r="Z265"/>
      <c r="AA265"/>
    </row>
    <row r="266" spans="1:27" ht="12.75">
      <c r="A266" s="222"/>
      <c r="B266" s="303"/>
      <c r="C266" s="421"/>
      <c r="D266" s="726" t="s">
        <v>321</v>
      </c>
      <c r="E266" s="223">
        <v>8601</v>
      </c>
      <c r="F266" s="223">
        <f>SUM(G266:P266)</f>
        <v>12639</v>
      </c>
      <c r="G266" s="224"/>
      <c r="H266" s="224"/>
      <c r="I266" s="224">
        <v>12639</v>
      </c>
      <c r="J266" s="224"/>
      <c r="K266" s="224"/>
      <c r="L266" s="224"/>
      <c r="M266" s="224"/>
      <c r="N266" s="224"/>
      <c r="O266" s="224"/>
      <c r="P266" s="727"/>
      <c r="Q266" s="720"/>
      <c r="R266" s="720"/>
      <c r="S266" s="720"/>
      <c r="T266" s="720"/>
      <c r="U266" s="720"/>
      <c r="V266" s="720"/>
      <c r="W266"/>
      <c r="X266"/>
      <c r="Y266"/>
      <c r="Z266"/>
      <c r="AA266"/>
    </row>
    <row r="267" spans="1:27" ht="12.75">
      <c r="A267" s="222"/>
      <c r="B267" s="303"/>
      <c r="C267" s="421"/>
      <c r="D267" s="726"/>
      <c r="E267" s="223"/>
      <c r="F267" s="223"/>
      <c r="G267" s="224"/>
      <c r="H267" s="224"/>
      <c r="I267" s="224"/>
      <c r="J267" s="224"/>
      <c r="K267" s="224"/>
      <c r="L267" s="224"/>
      <c r="M267" s="224"/>
      <c r="N267" s="224"/>
      <c r="O267" s="224"/>
      <c r="P267" s="727"/>
      <c r="Q267" s="720"/>
      <c r="R267" s="720"/>
      <c r="S267" s="720"/>
      <c r="T267" s="720"/>
      <c r="U267" s="720"/>
      <c r="V267" s="720"/>
      <c r="W267"/>
      <c r="X267"/>
      <c r="Y267"/>
      <c r="Z267"/>
      <c r="AA267"/>
    </row>
    <row r="268" spans="1:27" ht="12.75">
      <c r="A268" s="221"/>
      <c r="B268" s="1372" t="s">
        <v>141</v>
      </c>
      <c r="C268" s="1372"/>
      <c r="D268" s="739" t="s">
        <v>873</v>
      </c>
      <c r="E268" s="731">
        <f>SUM(E9+E12+E15+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E204+E207+E210+E213+E216+E219+E222+E225+E228+E231+E234+E237+E240+E243+E246+E249+E252+E255+E258+E261+E264)</f>
        <v>7814353</v>
      </c>
      <c r="F268" s="731">
        <f aca="true" t="shared" si="5" ref="F268:P268">SUM(F9+F12+F15+F18+F21+F24+F27+F30+F33+F36+F39+F42+F45+F48+F51+F54+F57+F60+F63+F66+F69+F72+F75+F78+F81+F84+F87+F90+F93+F96+F99+F102+F105+F108+F111+F114+F117+F120+F123+F126+F129+F132+F135+F138+F141+F144+F147+F150+F153+F156+F159+F162+F165+F168+F171+F174+F177+F180+F183+F186+F189+F192+F195+F198+F201+F204+F207+F210+F213+F216+F219+F222+F225+F228+F231+F234+F237+F240+F243+F246+F249+F252+F255+F258+F261+F264)</f>
        <v>7814353</v>
      </c>
      <c r="G268" s="731">
        <f t="shared" si="5"/>
        <v>88155</v>
      </c>
      <c r="H268" s="731">
        <f t="shared" si="5"/>
        <v>28033</v>
      </c>
      <c r="I268" s="731">
        <f t="shared" si="5"/>
        <v>690648</v>
      </c>
      <c r="J268" s="731">
        <f t="shared" si="5"/>
        <v>569019</v>
      </c>
      <c r="K268" s="731">
        <f t="shared" si="5"/>
        <v>61350</v>
      </c>
      <c r="L268" s="731">
        <f t="shared" si="5"/>
        <v>118226</v>
      </c>
      <c r="M268" s="731">
        <f t="shared" si="5"/>
        <v>2129489</v>
      </c>
      <c r="N268" s="731">
        <f t="shared" si="5"/>
        <v>131839</v>
      </c>
      <c r="O268" s="731">
        <f t="shared" si="5"/>
        <v>2489934</v>
      </c>
      <c r="P268" s="732">
        <f t="shared" si="5"/>
        <v>1507660</v>
      </c>
      <c r="Q268" s="237"/>
      <c r="R268" s="237"/>
      <c r="S268" s="237"/>
      <c r="T268" s="237"/>
      <c r="U268" s="237"/>
      <c r="V268" s="237"/>
      <c r="W268"/>
      <c r="X268"/>
      <c r="Y268"/>
      <c r="Z268"/>
      <c r="AA268"/>
    </row>
    <row r="269" spans="1:27" ht="12.75">
      <c r="A269" s="221"/>
      <c r="B269" s="354"/>
      <c r="C269" s="354"/>
      <c r="D269" s="739" t="s">
        <v>33</v>
      </c>
      <c r="E269" s="731">
        <f aca="true" t="shared" si="6" ref="E269:P270">SUM(E10+E13+E16+E19+E22+E25+E28+E31+E34+E37+E40+E43+E46+E49+E52+E55+E58+E61+E64+E67+E70+E73+E76+E79+E82+E85+E88+E91+E94+E97+E100+E103+E106+E109+E112+E115+E118+E121+E124+E127+E130+E133+E136+E139+E142+E145+E148+E151+E154+E157+E160+E163+E166+E169+E172+E175+E178+E181+E184+E187+E190+E193+E196+E199+E202+E205+E208+E211+E214+E217+E220+E223+E226+E229+E232+E235+E238+E241+E244+E247+E250+E253+E256+E259+E262+E265)</f>
        <v>4515585</v>
      </c>
      <c r="F269" s="731">
        <f t="shared" si="6"/>
        <v>4515585</v>
      </c>
      <c r="G269" s="731">
        <f t="shared" si="6"/>
        <v>112421</v>
      </c>
      <c r="H269" s="731">
        <f t="shared" si="6"/>
        <v>36511</v>
      </c>
      <c r="I269" s="731">
        <f t="shared" si="6"/>
        <v>787798</v>
      </c>
      <c r="J269" s="731">
        <f t="shared" si="6"/>
        <v>767410</v>
      </c>
      <c r="K269" s="731">
        <f t="shared" si="6"/>
        <v>64356</v>
      </c>
      <c r="L269" s="731">
        <f t="shared" si="6"/>
        <v>137173</v>
      </c>
      <c r="M269" s="731">
        <f t="shared" si="6"/>
        <v>709047</v>
      </c>
      <c r="N269" s="731">
        <f t="shared" si="6"/>
        <v>338324</v>
      </c>
      <c r="O269" s="731">
        <f t="shared" si="6"/>
        <v>24304</v>
      </c>
      <c r="P269" s="732">
        <f t="shared" si="6"/>
        <v>1538241</v>
      </c>
      <c r="Q269" s="237"/>
      <c r="R269" s="237"/>
      <c r="S269" s="237"/>
      <c r="T269" s="237"/>
      <c r="U269" s="237"/>
      <c r="V269" s="237"/>
      <c r="W269"/>
      <c r="X269"/>
      <c r="Y269"/>
      <c r="Z269"/>
      <c r="AA269"/>
    </row>
    <row r="270" spans="1:27" ht="12.75">
      <c r="A270" s="221"/>
      <c r="B270" s="354"/>
      <c r="C270" s="354"/>
      <c r="D270" s="739" t="s">
        <v>321</v>
      </c>
      <c r="E270" s="731">
        <f t="shared" si="6"/>
        <v>4491546</v>
      </c>
      <c r="F270" s="731">
        <f t="shared" si="6"/>
        <v>4072486</v>
      </c>
      <c r="G270" s="731">
        <f t="shared" si="6"/>
        <v>99652</v>
      </c>
      <c r="H270" s="731">
        <f t="shared" si="6"/>
        <v>26729</v>
      </c>
      <c r="I270" s="731">
        <f t="shared" si="6"/>
        <v>724271</v>
      </c>
      <c r="J270" s="731">
        <f t="shared" si="6"/>
        <v>706586</v>
      </c>
      <c r="K270" s="731">
        <f t="shared" si="6"/>
        <v>60994</v>
      </c>
      <c r="L270" s="731">
        <f t="shared" si="6"/>
        <v>66465</v>
      </c>
      <c r="M270" s="731">
        <f t="shared" si="6"/>
        <v>657119</v>
      </c>
      <c r="N270" s="731">
        <f t="shared" si="6"/>
        <v>245832</v>
      </c>
      <c r="O270" s="731">
        <f t="shared" si="6"/>
        <v>0</v>
      </c>
      <c r="P270" s="732">
        <f t="shared" si="6"/>
        <v>1484838</v>
      </c>
      <c r="Q270" s="237"/>
      <c r="R270" s="237"/>
      <c r="S270" s="237"/>
      <c r="T270" s="237"/>
      <c r="U270" s="237"/>
      <c r="V270" s="237"/>
      <c r="W270"/>
      <c r="X270"/>
      <c r="Y270"/>
      <c r="Z270"/>
      <c r="AA270"/>
    </row>
    <row r="271" spans="1:27" ht="12.75">
      <c r="A271" s="221"/>
      <c r="B271" s="354"/>
      <c r="C271" s="354"/>
      <c r="D271" s="740"/>
      <c r="E271" s="731"/>
      <c r="F271" s="731"/>
      <c r="G271" s="731"/>
      <c r="H271" s="731"/>
      <c r="I271" s="731"/>
      <c r="J271" s="731"/>
      <c r="K271" s="731"/>
      <c r="L271" s="731"/>
      <c r="M271" s="731"/>
      <c r="N271" s="731"/>
      <c r="O271" s="731"/>
      <c r="P271" s="732"/>
      <c r="Q271" s="237"/>
      <c r="R271" s="237"/>
      <c r="S271" s="237"/>
      <c r="T271" s="237"/>
      <c r="U271" s="237"/>
      <c r="V271" s="237"/>
      <c r="W271"/>
      <c r="X271"/>
      <c r="Y271"/>
      <c r="Z271"/>
      <c r="AA271"/>
    </row>
    <row r="272" spans="1:27" ht="12.75">
      <c r="A272" s="221"/>
      <c r="B272" s="1371" t="s">
        <v>722</v>
      </c>
      <c r="C272" s="1371"/>
      <c r="D272" s="740" t="s">
        <v>873</v>
      </c>
      <c r="E272" s="231">
        <f>SUM(E9+E12+E15+E18+E24+E27+E30+E39+E42+E45+E48+E51+E60+E63+E78+E87+E90+E93+E132+E135+E138+E141+E162+E168+E171+E174+E177+E183+E189+E192+E195+E198+E201+E216+E219+E231+E240+E243+E246+E249+E264)</f>
        <v>3196157</v>
      </c>
      <c r="F272" s="231">
        <f aca="true" t="shared" si="7" ref="F272:P272">SUM(F9+F12+F15+F18+F24+F27+F30+F39+F42+F45+F48+F51+F60+F63+F78+F87+F90+F93+F132+F135+F138+F141+F162+F168+F171+F174+F177+F183+F189+F192+F195+F198+F201+F216+F219+F231+F240+F243+F246+F249+F264)</f>
        <v>1951374</v>
      </c>
      <c r="G272" s="231">
        <f t="shared" si="7"/>
        <v>39406</v>
      </c>
      <c r="H272" s="231">
        <f t="shared" si="7"/>
        <v>5501</v>
      </c>
      <c r="I272" s="231">
        <f t="shared" si="7"/>
        <v>399442</v>
      </c>
      <c r="J272" s="231">
        <f t="shared" si="7"/>
        <v>373429</v>
      </c>
      <c r="K272" s="231">
        <f t="shared" si="7"/>
        <v>53000</v>
      </c>
      <c r="L272" s="231">
        <f t="shared" si="7"/>
        <v>43006</v>
      </c>
      <c r="M272" s="231">
        <f t="shared" si="7"/>
        <v>654546</v>
      </c>
      <c r="N272" s="231">
        <f t="shared" si="7"/>
        <v>2000</v>
      </c>
      <c r="O272" s="231">
        <f t="shared" si="7"/>
        <v>381044</v>
      </c>
      <c r="P272" s="248">
        <f t="shared" si="7"/>
        <v>0</v>
      </c>
      <c r="Q272" s="237"/>
      <c r="R272" s="237"/>
      <c r="S272" s="237"/>
      <c r="T272" s="237"/>
      <c r="U272" s="237"/>
      <c r="V272" s="237"/>
      <c r="W272"/>
      <c r="X272"/>
      <c r="Y272"/>
      <c r="Z272"/>
      <c r="AA272"/>
    </row>
    <row r="273" spans="1:27" ht="12.75">
      <c r="A273" s="221"/>
      <c r="B273" s="613"/>
      <c r="C273" s="613"/>
      <c r="D273" s="739" t="s">
        <v>33</v>
      </c>
      <c r="E273" s="231">
        <f aca="true" t="shared" si="8" ref="E273:P273">SUM(E10+E13+E16+E19+E25+E28+E31+E40+E43+E46+E49+E52+E61+E64+E79+E88+E91+E94+E133+E136+E139+E142+E163+E169+E172+E175+E178+E184+E190+E193+E196+E199+E202+E217+E220+E232+E241+E244+E247+E250+E265)</f>
        <v>2530464</v>
      </c>
      <c r="F273" s="231">
        <f t="shared" si="8"/>
        <v>1824599</v>
      </c>
      <c r="G273" s="231">
        <f t="shared" si="8"/>
        <v>54047</v>
      </c>
      <c r="H273" s="231">
        <f t="shared" si="8"/>
        <v>7438</v>
      </c>
      <c r="I273" s="231">
        <f t="shared" si="8"/>
        <v>468742</v>
      </c>
      <c r="J273" s="231">
        <f t="shared" si="8"/>
        <v>425847</v>
      </c>
      <c r="K273" s="231">
        <f t="shared" si="8"/>
        <v>57230</v>
      </c>
      <c r="L273" s="231">
        <f t="shared" si="8"/>
        <v>44638</v>
      </c>
      <c r="M273" s="231">
        <f t="shared" si="8"/>
        <v>537120</v>
      </c>
      <c r="N273" s="231">
        <f t="shared" si="8"/>
        <v>229537</v>
      </c>
      <c r="O273" s="231">
        <f t="shared" si="8"/>
        <v>0</v>
      </c>
      <c r="P273" s="248">
        <f t="shared" si="8"/>
        <v>0</v>
      </c>
      <c r="Q273" s="237"/>
      <c r="R273" s="237"/>
      <c r="S273" s="237"/>
      <c r="T273" s="237"/>
      <c r="U273" s="237"/>
      <c r="V273" s="237"/>
      <c r="W273"/>
      <c r="X273"/>
      <c r="Y273"/>
      <c r="Z273"/>
      <c r="AA273"/>
    </row>
    <row r="274" spans="1:27" ht="12.75">
      <c r="A274" s="221"/>
      <c r="B274" s="613"/>
      <c r="C274" s="613"/>
      <c r="D274" s="739" t="s">
        <v>321</v>
      </c>
      <c r="E274" s="231">
        <f>SUM(E11+E14+E17+E20+E26+E29+E32+E41+E44+E47+E50+E53+E62+E65+E80+E86+E89+E92+E95+E134+E137+E140+E143+E164+E170+E173+E176+E179+E185+E191+E194+E197+E200+E203+E218+E221+E233+E242+E245+E248+E251+E266)</f>
        <v>2539274</v>
      </c>
      <c r="F274" s="231">
        <f aca="true" t="shared" si="9" ref="F274:P274">SUM(F11+F14+F17+F20+F26+F29+F32+F41+F44+F47+F50+F53+F62+F65+F80+F86+F89+F92+F95+F134+F137+F140+F143+F164+F170+F173+F176+F179+F185+F191+F194+F197+F200+F203+F218+F221+F233+F242+F245+F248+F251+F266)</f>
        <v>1686463</v>
      </c>
      <c r="G274" s="231">
        <f t="shared" si="9"/>
        <v>48240</v>
      </c>
      <c r="H274" s="231">
        <f t="shared" si="9"/>
        <v>5682</v>
      </c>
      <c r="I274" s="231">
        <f t="shared" si="9"/>
        <v>492242</v>
      </c>
      <c r="J274" s="231">
        <f t="shared" si="9"/>
        <v>401023</v>
      </c>
      <c r="K274" s="231">
        <f t="shared" si="9"/>
        <v>55476</v>
      </c>
      <c r="L274" s="231">
        <f t="shared" si="9"/>
        <v>27672</v>
      </c>
      <c r="M274" s="231">
        <f t="shared" si="9"/>
        <v>519020</v>
      </c>
      <c r="N274" s="231">
        <f t="shared" si="9"/>
        <v>137108</v>
      </c>
      <c r="O274" s="231">
        <f t="shared" si="9"/>
        <v>0</v>
      </c>
      <c r="P274" s="248">
        <f t="shared" si="9"/>
        <v>0</v>
      </c>
      <c r="Q274" s="237"/>
      <c r="R274" s="237"/>
      <c r="S274" s="237"/>
      <c r="T274" s="237"/>
      <c r="U274" s="237"/>
      <c r="V274" s="237"/>
      <c r="W274"/>
      <c r="X274"/>
      <c r="Y274"/>
      <c r="Z274"/>
      <c r="AA274"/>
    </row>
    <row r="275" spans="1:27" ht="12.75">
      <c r="A275" s="221"/>
      <c r="B275" s="613"/>
      <c r="C275" s="613"/>
      <c r="D275" s="740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48"/>
      <c r="Q275" s="237"/>
      <c r="R275" s="237"/>
      <c r="S275" s="237"/>
      <c r="T275" s="237"/>
      <c r="U275" s="237"/>
      <c r="V275" s="237"/>
      <c r="W275"/>
      <c r="X275"/>
      <c r="Y275"/>
      <c r="Z275"/>
      <c r="AA275"/>
    </row>
    <row r="276" spans="1:27" ht="12.75">
      <c r="A276" s="221"/>
      <c r="B276" s="1371" t="s">
        <v>589</v>
      </c>
      <c r="C276" s="1371"/>
      <c r="D276" s="740" t="s">
        <v>873</v>
      </c>
      <c r="E276" s="231">
        <f>SUM(E21+E33+E36+E66+E69+E72+E75+E81+E114+E117+E120+E123+E126+E129+E144+E147+E150+E153+E156+E159+E165+E180+E186+E204+E207+E210+E213+E222+E225+E228+E234+E237+E252+E255+E258+E261)</f>
        <v>2392964</v>
      </c>
      <c r="F276" s="231">
        <f aca="true" t="shared" si="10" ref="F276:P276">SUM(F21+F33+F36+F66+F69+F72+F75+F81+F114+F117+F120+F123+F126+F129+F144+F147+F150+F153+F156+F159+F165+F180+F186+F204+F207+F210+F213+F222+F225+F228+F234+F237+F252+F255+F258+F261)</f>
        <v>3533254</v>
      </c>
      <c r="G276" s="231">
        <f t="shared" si="10"/>
        <v>10622</v>
      </c>
      <c r="H276" s="231">
        <f t="shared" si="10"/>
        <v>10998</v>
      </c>
      <c r="I276" s="231">
        <f t="shared" si="10"/>
        <v>147194</v>
      </c>
      <c r="J276" s="231">
        <f t="shared" si="10"/>
        <v>192544</v>
      </c>
      <c r="K276" s="231">
        <f t="shared" si="10"/>
        <v>8350</v>
      </c>
      <c r="L276" s="231">
        <f t="shared" si="10"/>
        <v>69124</v>
      </c>
      <c r="M276" s="231">
        <f t="shared" si="10"/>
        <v>1443908</v>
      </c>
      <c r="N276" s="231">
        <f t="shared" si="10"/>
        <v>6300</v>
      </c>
      <c r="O276" s="231">
        <f t="shared" si="10"/>
        <v>1644214</v>
      </c>
      <c r="P276" s="248">
        <f t="shared" si="10"/>
        <v>0</v>
      </c>
      <c r="Q276" s="237"/>
      <c r="R276" s="237"/>
      <c r="S276" s="237"/>
      <c r="T276" s="237"/>
      <c r="U276" s="237"/>
      <c r="V276" s="237"/>
      <c r="W276"/>
      <c r="X276"/>
      <c r="Y276"/>
      <c r="Z276"/>
      <c r="AA276"/>
    </row>
    <row r="277" spans="1:27" ht="12.75">
      <c r="A277" s="221"/>
      <c r="B277" s="613"/>
      <c r="C277" s="613"/>
      <c r="D277" s="739" t="s">
        <v>33</v>
      </c>
      <c r="E277" s="231">
        <f aca="true" t="shared" si="11" ref="E277:P277">SUM(E22+E34+E37+E67+E70+E73+E76+E82+E115+E118+E121+E124+E127+E130+E145+E148+E151+E154+E157+E160+E166+E181+E187+E205+E208+E211+E214+E223+E226+E229+E235+E238+E253+E256+E259+E262)</f>
        <v>223128</v>
      </c>
      <c r="F277" s="231">
        <f t="shared" si="11"/>
        <v>777898</v>
      </c>
      <c r="G277" s="231">
        <f t="shared" si="11"/>
        <v>16466</v>
      </c>
      <c r="H277" s="231">
        <f t="shared" si="11"/>
        <v>13246</v>
      </c>
      <c r="I277" s="231">
        <f t="shared" si="11"/>
        <v>164087</v>
      </c>
      <c r="J277" s="231">
        <f t="shared" si="11"/>
        <v>338517</v>
      </c>
      <c r="K277" s="231">
        <f t="shared" si="11"/>
        <v>7126</v>
      </c>
      <c r="L277" s="231">
        <f t="shared" si="11"/>
        <v>86439</v>
      </c>
      <c r="M277" s="231">
        <f t="shared" si="11"/>
        <v>141809</v>
      </c>
      <c r="N277" s="231">
        <f t="shared" si="11"/>
        <v>10208</v>
      </c>
      <c r="O277" s="231">
        <f t="shared" si="11"/>
        <v>0</v>
      </c>
      <c r="P277" s="248">
        <f t="shared" si="11"/>
        <v>0</v>
      </c>
      <c r="Q277" s="237"/>
      <c r="R277" s="237"/>
      <c r="S277" s="237"/>
      <c r="T277" s="237"/>
      <c r="U277" s="237"/>
      <c r="V277" s="237"/>
      <c r="W277"/>
      <c r="X277"/>
      <c r="Y277"/>
      <c r="Z277"/>
      <c r="AA277"/>
    </row>
    <row r="278" spans="1:27" ht="12.75">
      <c r="A278" s="221"/>
      <c r="B278" s="613"/>
      <c r="C278" s="613"/>
      <c r="D278" s="739" t="s">
        <v>321</v>
      </c>
      <c r="E278" s="231">
        <f>SUM(E23+E35+E38+E68+E71+E74+E77+E83+E116+E119+E122+E125+E128+E131+E146+E149+E152+E155+E158+E161+E167+E182+E188+E206+E209+E212+E215+E224+E227+E230+E236+E239+E254+E257+E260+E263)</f>
        <v>175151</v>
      </c>
      <c r="F278" s="231">
        <f aca="true" t="shared" si="12" ref="F278:P278">SUM(F23+F35+F38+F68+F71+F74+F77+F83+F116+F119+F122+F125+F128+F131+F146+F149+F152+F155+F158+F161+F167+F182+F188+F206+F209+F212+F215+F224+F227+F230+F236+F239+F254+F257+F260+F263)</f>
        <v>641451</v>
      </c>
      <c r="G278" s="231">
        <f t="shared" si="12"/>
        <v>14366</v>
      </c>
      <c r="H278" s="231">
        <f t="shared" si="12"/>
        <v>10072</v>
      </c>
      <c r="I278" s="231">
        <f t="shared" si="12"/>
        <v>145304</v>
      </c>
      <c r="J278" s="231">
        <f t="shared" si="12"/>
        <v>284960</v>
      </c>
      <c r="K278" s="231">
        <f t="shared" si="12"/>
        <v>5518</v>
      </c>
      <c r="L278" s="231">
        <f t="shared" si="12"/>
        <v>38793</v>
      </c>
      <c r="M278" s="231">
        <f t="shared" si="12"/>
        <v>132230</v>
      </c>
      <c r="N278" s="231">
        <f t="shared" si="12"/>
        <v>10208</v>
      </c>
      <c r="O278" s="231">
        <f t="shared" si="12"/>
        <v>0</v>
      </c>
      <c r="P278" s="248">
        <f t="shared" si="12"/>
        <v>0</v>
      </c>
      <c r="Q278" s="237"/>
      <c r="R278" s="237"/>
      <c r="S278" s="237"/>
      <c r="T278" s="237"/>
      <c r="U278" s="237"/>
      <c r="V278" s="237"/>
      <c r="W278"/>
      <c r="X278"/>
      <c r="Y278"/>
      <c r="Z278"/>
      <c r="AA278"/>
    </row>
    <row r="279" spans="1:27" ht="12.75">
      <c r="A279" s="221"/>
      <c r="B279" s="613"/>
      <c r="C279" s="613"/>
      <c r="D279" s="740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48"/>
      <c r="Q279" s="237"/>
      <c r="R279" s="237"/>
      <c r="S279" s="237"/>
      <c r="T279" s="237"/>
      <c r="U279" s="237"/>
      <c r="V279" s="237"/>
      <c r="W279"/>
      <c r="X279"/>
      <c r="Y279"/>
      <c r="Z279"/>
      <c r="AA279"/>
    </row>
    <row r="280" spans="1:27" ht="12.75">
      <c r="A280" s="221"/>
      <c r="B280" s="1371" t="s">
        <v>590</v>
      </c>
      <c r="C280" s="1371"/>
      <c r="D280" s="740" t="s">
        <v>873</v>
      </c>
      <c r="E280" s="231">
        <f>SUM(E54+E57+E96+E99+E102+E105+E108+E111)</f>
        <v>2107830</v>
      </c>
      <c r="F280" s="231">
        <f aca="true" t="shared" si="13" ref="F280:P280">SUM(F54+F57+F96+F99+F102+F105+F108+F111)</f>
        <v>2095689</v>
      </c>
      <c r="G280" s="231">
        <f t="shared" si="13"/>
        <v>38127</v>
      </c>
      <c r="H280" s="231">
        <f t="shared" si="13"/>
        <v>11534</v>
      </c>
      <c r="I280" s="231">
        <f t="shared" si="13"/>
        <v>83118</v>
      </c>
      <c r="J280" s="231">
        <f t="shared" si="13"/>
        <v>3046</v>
      </c>
      <c r="K280" s="231">
        <f t="shared" si="13"/>
        <v>0</v>
      </c>
      <c r="L280" s="231">
        <f t="shared" si="13"/>
        <v>0</v>
      </c>
      <c r="M280" s="231">
        <f t="shared" si="13"/>
        <v>9110</v>
      </c>
      <c r="N280" s="231">
        <f t="shared" si="13"/>
        <v>123539</v>
      </c>
      <c r="O280" s="231">
        <f t="shared" si="13"/>
        <v>319555</v>
      </c>
      <c r="P280" s="248">
        <f t="shared" si="13"/>
        <v>1507660</v>
      </c>
      <c r="Q280" s="237"/>
      <c r="R280" s="237"/>
      <c r="S280" s="237"/>
      <c r="T280" s="237"/>
      <c r="U280" s="237"/>
      <c r="V280" s="237"/>
      <c r="W280"/>
      <c r="X280"/>
      <c r="Y280"/>
      <c r="Z280"/>
      <c r="AA280"/>
    </row>
    <row r="281" spans="1:27" ht="12.75">
      <c r="A281" s="221"/>
      <c r="B281" s="227"/>
      <c r="C281" s="525"/>
      <c r="D281" s="739" t="s">
        <v>33</v>
      </c>
      <c r="E281" s="231">
        <f aca="true" t="shared" si="14" ref="E281:P281">SUM(E55+E58+E97+E100+E103+E106+E109+E112)</f>
        <v>1761993</v>
      </c>
      <c r="F281" s="231">
        <f t="shared" si="14"/>
        <v>1821519</v>
      </c>
      <c r="G281" s="231">
        <f t="shared" si="14"/>
        <v>41865</v>
      </c>
      <c r="H281" s="231">
        <f t="shared" si="14"/>
        <v>15817</v>
      </c>
      <c r="I281" s="231">
        <f t="shared" si="14"/>
        <v>86925</v>
      </c>
      <c r="J281" s="231">
        <f t="shared" si="14"/>
        <v>3046</v>
      </c>
      <c r="K281" s="231">
        <f t="shared" si="14"/>
        <v>0</v>
      </c>
      <c r="L281" s="231">
        <f t="shared" si="14"/>
        <v>0</v>
      </c>
      <c r="M281" s="231">
        <f t="shared" si="14"/>
        <v>12742</v>
      </c>
      <c r="N281" s="231">
        <f t="shared" si="14"/>
        <v>98579</v>
      </c>
      <c r="O281" s="231">
        <f t="shared" si="14"/>
        <v>24304</v>
      </c>
      <c r="P281" s="248">
        <f t="shared" si="14"/>
        <v>1538241</v>
      </c>
      <c r="Q281" s="237"/>
      <c r="R281" s="237"/>
      <c r="S281" s="237"/>
      <c r="T281" s="237"/>
      <c r="U281" s="237"/>
      <c r="V281" s="237"/>
      <c r="W281"/>
      <c r="X281"/>
      <c r="Y281"/>
      <c r="Z281"/>
      <c r="AA281"/>
    </row>
    <row r="282" spans="1:27" ht="13.5" thickBot="1">
      <c r="A282" s="238"/>
      <c r="B282" s="374"/>
      <c r="C282" s="425"/>
      <c r="D282" s="651" t="s">
        <v>321</v>
      </c>
      <c r="E282" s="733">
        <f>SUM(E56+E59+E98+E101+E104+E107+E110+E113)</f>
        <v>1777121</v>
      </c>
      <c r="F282" s="733">
        <f aca="true" t="shared" si="15" ref="F282:P282">SUM(F56+F59+F98+F101+F104+F107+F110+F113)</f>
        <v>1744572</v>
      </c>
      <c r="G282" s="733">
        <f t="shared" si="15"/>
        <v>37046</v>
      </c>
      <c r="H282" s="733">
        <f t="shared" si="15"/>
        <v>10975</v>
      </c>
      <c r="I282" s="733">
        <f t="shared" si="15"/>
        <v>86725</v>
      </c>
      <c r="J282" s="733">
        <f t="shared" si="15"/>
        <v>20603</v>
      </c>
      <c r="K282" s="733">
        <f t="shared" si="15"/>
        <v>0</v>
      </c>
      <c r="L282" s="733">
        <f t="shared" si="15"/>
        <v>0</v>
      </c>
      <c r="M282" s="733">
        <f t="shared" si="15"/>
        <v>5869</v>
      </c>
      <c r="N282" s="733">
        <f t="shared" si="15"/>
        <v>98516</v>
      </c>
      <c r="O282" s="733">
        <f t="shared" si="15"/>
        <v>0</v>
      </c>
      <c r="P282" s="734">
        <f t="shared" si="15"/>
        <v>1484838</v>
      </c>
      <c r="Q282" s="237"/>
      <c r="R282" s="237"/>
      <c r="S282" s="237"/>
      <c r="T282" s="237"/>
      <c r="U282" s="237"/>
      <c r="V282" s="237"/>
      <c r="W282"/>
      <c r="X282"/>
      <c r="Y282"/>
      <c r="Z282"/>
      <c r="AA282"/>
    </row>
    <row r="283" spans="7:27" ht="12.75">
      <c r="G283" s="210"/>
      <c r="H283" s="210"/>
      <c r="I283" s="210"/>
      <c r="J283" s="210"/>
      <c r="K283" s="210"/>
      <c r="L283" s="210"/>
      <c r="M283" s="210"/>
      <c r="N283" s="213"/>
      <c r="O283" s="210"/>
      <c r="P283" s="237"/>
      <c r="Q283" s="237"/>
      <c r="R283" s="237"/>
      <c r="S283" s="237"/>
      <c r="T283" s="237"/>
      <c r="U283" s="237"/>
      <c r="V283" s="237"/>
      <c r="W283"/>
      <c r="X283"/>
      <c r="Y283"/>
      <c r="Z283"/>
      <c r="AA283"/>
    </row>
    <row r="284" spans="7:27" ht="12.75">
      <c r="G284" s="210"/>
      <c r="H284" s="210"/>
      <c r="I284" s="210"/>
      <c r="J284" s="210"/>
      <c r="K284" s="210"/>
      <c r="L284" s="210"/>
      <c r="M284" s="210"/>
      <c r="N284" s="213"/>
      <c r="O284" s="210"/>
      <c r="P284" s="237"/>
      <c r="Q284" s="237"/>
      <c r="R284" s="237"/>
      <c r="S284" s="237"/>
      <c r="T284" s="237"/>
      <c r="U284" s="237"/>
      <c r="V284" s="237"/>
      <c r="W284"/>
      <c r="X284"/>
      <c r="Y284"/>
      <c r="Z284"/>
      <c r="AA284"/>
    </row>
    <row r="285" spans="7:27" ht="12.75">
      <c r="G285" s="210"/>
      <c r="H285" s="210"/>
      <c r="I285" s="210"/>
      <c r="J285" s="210"/>
      <c r="K285" s="210"/>
      <c r="L285" s="210"/>
      <c r="M285" s="210"/>
      <c r="N285" s="213"/>
      <c r="O285" s="210"/>
      <c r="P285" s="237"/>
      <c r="Q285" s="237"/>
      <c r="R285" s="237"/>
      <c r="S285" s="237"/>
      <c r="T285" s="237"/>
      <c r="U285" s="237"/>
      <c r="V285" s="237"/>
      <c r="W285"/>
      <c r="X285"/>
      <c r="Y285"/>
      <c r="Z285"/>
      <c r="AA285"/>
    </row>
    <row r="286" spans="7:27" ht="12.75">
      <c r="G286" s="210"/>
      <c r="H286" s="210"/>
      <c r="I286" s="210"/>
      <c r="J286" s="210"/>
      <c r="K286" s="210"/>
      <c r="L286" s="210"/>
      <c r="M286" s="210"/>
      <c r="N286" s="213"/>
      <c r="O286" s="210"/>
      <c r="P286" s="237"/>
      <c r="Q286" s="237"/>
      <c r="R286" s="237"/>
      <c r="S286" s="237"/>
      <c r="T286" s="237"/>
      <c r="U286" s="237"/>
      <c r="V286" s="237"/>
      <c r="W286"/>
      <c r="X286"/>
      <c r="Y286"/>
      <c r="Z286"/>
      <c r="AA286"/>
    </row>
    <row r="287" spans="7:27" ht="12.75">
      <c r="G287" s="210"/>
      <c r="H287" s="210"/>
      <c r="I287" s="210"/>
      <c r="J287" s="210"/>
      <c r="K287" s="210"/>
      <c r="L287" s="210"/>
      <c r="M287" s="210"/>
      <c r="N287" s="213"/>
      <c r="O287" s="210"/>
      <c r="P287" s="237"/>
      <c r="Q287" s="237"/>
      <c r="R287" s="237"/>
      <c r="S287" s="237"/>
      <c r="T287" s="237"/>
      <c r="U287" s="237"/>
      <c r="V287" s="237"/>
      <c r="W287"/>
      <c r="X287"/>
      <c r="Y287"/>
      <c r="Z287"/>
      <c r="AA287"/>
    </row>
    <row r="288" spans="1:27" ht="12.75">
      <c r="A288"/>
      <c r="B288"/>
      <c r="C288"/>
      <c r="D288"/>
      <c r="E288"/>
      <c r="F288"/>
      <c r="G288" s="210"/>
      <c r="H288" s="210"/>
      <c r="I288" s="210"/>
      <c r="J288" s="210"/>
      <c r="K288" s="210"/>
      <c r="L288" s="210"/>
      <c r="M288" s="210"/>
      <c r="N288" s="213"/>
      <c r="O288" s="210"/>
      <c r="P288" s="237"/>
      <c r="Q288" s="237"/>
      <c r="R288" s="237"/>
      <c r="S288" s="237"/>
      <c r="T288" s="237"/>
      <c r="U288" s="237"/>
      <c r="V288" s="237"/>
      <c r="W288"/>
      <c r="X288"/>
      <c r="Y288"/>
      <c r="Z288"/>
      <c r="AA288"/>
    </row>
    <row r="289" spans="1:27" ht="12.75">
      <c r="A289"/>
      <c r="B289"/>
      <c r="C289"/>
      <c r="D289"/>
      <c r="E289"/>
      <c r="F289"/>
      <c r="G289" s="210"/>
      <c r="H289" s="210"/>
      <c r="I289" s="210"/>
      <c r="J289" s="210"/>
      <c r="K289" s="210"/>
      <c r="L289" s="210"/>
      <c r="M289" s="210"/>
      <c r="N289" s="213"/>
      <c r="O289" s="210"/>
      <c r="P289" s="237"/>
      <c r="Q289" s="237"/>
      <c r="R289" s="237"/>
      <c r="S289" s="237"/>
      <c r="T289" s="237"/>
      <c r="U289" s="237"/>
      <c r="V289" s="237"/>
      <c r="W289"/>
      <c r="X289"/>
      <c r="Y289"/>
      <c r="Z289"/>
      <c r="AA289"/>
    </row>
    <row r="290" spans="1:27" ht="12.75">
      <c r="A290"/>
      <c r="B290"/>
      <c r="C290"/>
      <c r="D290"/>
      <c r="E290"/>
      <c r="F290"/>
      <c r="G290" s="210"/>
      <c r="H290" s="210"/>
      <c r="I290" s="210"/>
      <c r="J290" s="210"/>
      <c r="K290" s="210"/>
      <c r="L290" s="210"/>
      <c r="M290" s="210"/>
      <c r="N290" s="213"/>
      <c r="O290" s="210"/>
      <c r="P290" s="237"/>
      <c r="Q290" s="237"/>
      <c r="R290" s="237"/>
      <c r="S290" s="237"/>
      <c r="T290" s="237"/>
      <c r="U290" s="237"/>
      <c r="V290" s="237"/>
      <c r="W290"/>
      <c r="X290"/>
      <c r="Y290"/>
      <c r="Z290"/>
      <c r="AA290"/>
    </row>
    <row r="291" spans="1:27" ht="12.75">
      <c r="A291"/>
      <c r="B291"/>
      <c r="C291"/>
      <c r="D291"/>
      <c r="E291"/>
      <c r="F291"/>
      <c r="G291" s="210"/>
      <c r="H291" s="210"/>
      <c r="I291" s="210"/>
      <c r="J291" s="210"/>
      <c r="K291" s="210"/>
      <c r="L291" s="210"/>
      <c r="M291" s="210"/>
      <c r="N291" s="213"/>
      <c r="O291" s="210"/>
      <c r="P291" s="237"/>
      <c r="Q291" s="237"/>
      <c r="R291" s="237"/>
      <c r="S291" s="237"/>
      <c r="T291" s="237"/>
      <c r="U291" s="237"/>
      <c r="V291" s="237"/>
      <c r="W291"/>
      <c r="X291"/>
      <c r="Y291"/>
      <c r="Z291"/>
      <c r="AA291"/>
    </row>
    <row r="292" spans="1:27" ht="12.75">
      <c r="A292"/>
      <c r="B292"/>
      <c r="C292"/>
      <c r="D292"/>
      <c r="E292"/>
      <c r="F292"/>
      <c r="G292" s="210"/>
      <c r="H292" s="210"/>
      <c r="I292" s="210"/>
      <c r="J292" s="210"/>
      <c r="K292" s="210"/>
      <c r="L292" s="210"/>
      <c r="M292" s="210"/>
      <c r="N292" s="213"/>
      <c r="O292" s="210"/>
      <c r="P292" s="237"/>
      <c r="Q292" s="237"/>
      <c r="R292" s="237"/>
      <c r="S292" s="237"/>
      <c r="T292" s="237"/>
      <c r="U292" s="237"/>
      <c r="V292" s="237"/>
      <c r="W292"/>
      <c r="X292"/>
      <c r="Y292"/>
      <c r="Z292"/>
      <c r="AA292"/>
    </row>
    <row r="293" spans="1:27" ht="12.75">
      <c r="A293"/>
      <c r="B293"/>
      <c r="C293"/>
      <c r="D293"/>
      <c r="E293"/>
      <c r="F293"/>
      <c r="G293" s="210"/>
      <c r="H293" s="210"/>
      <c r="I293" s="210"/>
      <c r="J293" s="210"/>
      <c r="K293" s="210"/>
      <c r="L293" s="210"/>
      <c r="M293" s="210"/>
      <c r="N293" s="213"/>
      <c r="O293" s="210"/>
      <c r="P293" s="237"/>
      <c r="Q293" s="237"/>
      <c r="R293" s="237"/>
      <c r="S293" s="237"/>
      <c r="T293" s="237"/>
      <c r="U293" s="237"/>
      <c r="V293" s="237"/>
      <c r="W293"/>
      <c r="X293"/>
      <c r="Y293"/>
      <c r="Z293"/>
      <c r="AA293"/>
    </row>
    <row r="294" spans="1:27" ht="12.75">
      <c r="A294"/>
      <c r="B294"/>
      <c r="C294"/>
      <c r="D294"/>
      <c r="E294"/>
      <c r="F294"/>
      <c r="G294" s="210"/>
      <c r="H294" s="210"/>
      <c r="I294" s="210"/>
      <c r="J294" s="210"/>
      <c r="K294" s="210"/>
      <c r="L294" s="210"/>
      <c r="M294" s="210"/>
      <c r="N294" s="213"/>
      <c r="O294" s="210"/>
      <c r="P294" s="237"/>
      <c r="Q294" s="237"/>
      <c r="R294" s="237"/>
      <c r="S294" s="237"/>
      <c r="T294" s="237"/>
      <c r="U294" s="237"/>
      <c r="V294" s="237"/>
      <c r="W294"/>
      <c r="X294"/>
      <c r="Y294"/>
      <c r="Z294"/>
      <c r="AA294"/>
    </row>
    <row r="295" spans="1:27" ht="12.75">
      <c r="A295"/>
      <c r="B295"/>
      <c r="C295"/>
      <c r="D295"/>
      <c r="E295"/>
      <c r="F295"/>
      <c r="G295" s="210"/>
      <c r="H295" s="210"/>
      <c r="I295" s="210"/>
      <c r="J295" s="210"/>
      <c r="K295" s="210"/>
      <c r="L295" s="210"/>
      <c r="M295" s="210"/>
      <c r="N295" s="213"/>
      <c r="O295" s="210"/>
      <c r="P295" s="237"/>
      <c r="Q295" s="237"/>
      <c r="R295" s="237"/>
      <c r="S295" s="237"/>
      <c r="T295" s="237"/>
      <c r="U295" s="237"/>
      <c r="V295" s="237"/>
      <c r="W295"/>
      <c r="X295"/>
      <c r="Y295"/>
      <c r="Z295"/>
      <c r="AA295"/>
    </row>
    <row r="296" spans="1:27" ht="12.75">
      <c r="A296"/>
      <c r="B296"/>
      <c r="C296"/>
      <c r="D296"/>
      <c r="E296"/>
      <c r="F296"/>
      <c r="G296" s="210"/>
      <c r="H296" s="210"/>
      <c r="I296" s="210"/>
      <c r="J296" s="210"/>
      <c r="K296" s="210"/>
      <c r="L296" s="210"/>
      <c r="M296" s="210"/>
      <c r="N296" s="213"/>
      <c r="O296" s="210"/>
      <c r="P296" s="237"/>
      <c r="Q296" s="237"/>
      <c r="R296" s="237"/>
      <c r="S296" s="237"/>
      <c r="T296" s="237"/>
      <c r="U296" s="237"/>
      <c r="V296" s="237"/>
      <c r="W296"/>
      <c r="X296"/>
      <c r="Y296"/>
      <c r="Z296"/>
      <c r="AA296"/>
    </row>
    <row r="297" spans="1:27" ht="12.75">
      <c r="A297"/>
      <c r="B297"/>
      <c r="C297"/>
      <c r="D297"/>
      <c r="E297"/>
      <c r="F297"/>
      <c r="G297" s="210"/>
      <c r="H297" s="210"/>
      <c r="I297" s="210"/>
      <c r="J297" s="210"/>
      <c r="K297" s="210"/>
      <c r="L297" s="210"/>
      <c r="M297" s="210"/>
      <c r="N297" s="213"/>
      <c r="O297" s="210"/>
      <c r="P297" s="237"/>
      <c r="Q297" s="237"/>
      <c r="R297" s="237"/>
      <c r="S297" s="237"/>
      <c r="T297" s="237"/>
      <c r="U297" s="237"/>
      <c r="V297" s="237"/>
      <c r="W297"/>
      <c r="X297"/>
      <c r="Y297"/>
      <c r="Z297"/>
      <c r="AA297"/>
    </row>
    <row r="298" spans="1:27" ht="12.75">
      <c r="A298"/>
      <c r="B298"/>
      <c r="C298"/>
      <c r="D298"/>
      <c r="E298"/>
      <c r="F298"/>
      <c r="G298" s="210"/>
      <c r="H298" s="210"/>
      <c r="I298" s="210"/>
      <c r="J298" s="210"/>
      <c r="K298" s="210"/>
      <c r="L298" s="210"/>
      <c r="M298" s="210"/>
      <c r="N298" s="213"/>
      <c r="O298" s="210"/>
      <c r="P298" s="237"/>
      <c r="Q298" s="237"/>
      <c r="R298" s="237"/>
      <c r="S298" s="237"/>
      <c r="T298" s="237"/>
      <c r="U298" s="237"/>
      <c r="V298" s="237"/>
      <c r="W298"/>
      <c r="X298"/>
      <c r="Y298"/>
      <c r="Z298"/>
      <c r="AA298"/>
    </row>
    <row r="299" spans="1:27" ht="12.75">
      <c r="A299"/>
      <c r="B299"/>
      <c r="C299"/>
      <c r="D299"/>
      <c r="E299"/>
      <c r="F299"/>
      <c r="G299" s="210"/>
      <c r="H299" s="210"/>
      <c r="I299" s="210"/>
      <c r="J299" s="210"/>
      <c r="K299" s="210"/>
      <c r="L299" s="210"/>
      <c r="M299" s="210"/>
      <c r="N299" s="213"/>
      <c r="O299" s="210"/>
      <c r="P299" s="237"/>
      <c r="Q299" s="237"/>
      <c r="R299" s="237"/>
      <c r="S299" s="237"/>
      <c r="T299" s="237"/>
      <c r="U299" s="237"/>
      <c r="V299" s="237"/>
      <c r="W299"/>
      <c r="X299"/>
      <c r="Y299"/>
      <c r="Z299"/>
      <c r="AA299"/>
    </row>
    <row r="300" spans="1:27" ht="12.75">
      <c r="A300"/>
      <c r="B300"/>
      <c r="C300"/>
      <c r="D300"/>
      <c r="E300"/>
      <c r="F300"/>
      <c r="G300" s="210"/>
      <c r="H300" s="210"/>
      <c r="I300" s="210"/>
      <c r="J300" s="210"/>
      <c r="K300" s="210"/>
      <c r="L300" s="210"/>
      <c r="M300" s="210"/>
      <c r="N300" s="213"/>
      <c r="O300" s="210"/>
      <c r="P300" s="237"/>
      <c r="Q300" s="237"/>
      <c r="R300" s="237"/>
      <c r="S300" s="237"/>
      <c r="T300" s="237"/>
      <c r="U300" s="237"/>
      <c r="V300" s="237"/>
      <c r="W300"/>
      <c r="X300"/>
      <c r="Y300"/>
      <c r="Z300"/>
      <c r="AA300"/>
    </row>
    <row r="301" spans="1:27" ht="12.75">
      <c r="A301"/>
      <c r="B301"/>
      <c r="C301"/>
      <c r="D301"/>
      <c r="E301"/>
      <c r="F301"/>
      <c r="G301" s="210"/>
      <c r="H301" s="210"/>
      <c r="I301" s="210"/>
      <c r="J301" s="210"/>
      <c r="K301" s="210"/>
      <c r="L301" s="210"/>
      <c r="M301" s="210"/>
      <c r="N301" s="213"/>
      <c r="O301" s="210"/>
      <c r="P301" s="237"/>
      <c r="Q301" s="237"/>
      <c r="R301" s="237"/>
      <c r="S301" s="237"/>
      <c r="T301" s="237"/>
      <c r="U301" s="237"/>
      <c r="V301" s="237"/>
      <c r="W301"/>
      <c r="X301"/>
      <c r="Y301"/>
      <c r="Z301"/>
      <c r="AA301"/>
    </row>
    <row r="302" spans="1:27" ht="12.75">
      <c r="A302"/>
      <c r="B302"/>
      <c r="C302"/>
      <c r="D302"/>
      <c r="E302"/>
      <c r="F302"/>
      <c r="G302" s="210"/>
      <c r="H302" s="210"/>
      <c r="I302" s="210"/>
      <c r="J302" s="210"/>
      <c r="K302" s="210"/>
      <c r="L302" s="210"/>
      <c r="M302" s="210"/>
      <c r="N302" s="213"/>
      <c r="O302" s="210"/>
      <c r="P302" s="237"/>
      <c r="Q302" s="237"/>
      <c r="R302" s="237"/>
      <c r="S302" s="237"/>
      <c r="T302" s="237"/>
      <c r="U302" s="237"/>
      <c r="V302" s="237"/>
      <c r="W302"/>
      <c r="X302"/>
      <c r="Y302"/>
      <c r="Z302"/>
      <c r="AA302"/>
    </row>
    <row r="303" spans="1:27" ht="12.75">
      <c r="A303"/>
      <c r="B303"/>
      <c r="C303"/>
      <c r="D303"/>
      <c r="E303"/>
      <c r="F303"/>
      <c r="G303" s="210"/>
      <c r="H303" s="210"/>
      <c r="I303" s="210"/>
      <c r="J303" s="210"/>
      <c r="K303" s="210"/>
      <c r="L303" s="210"/>
      <c r="M303" s="210"/>
      <c r="N303" s="213"/>
      <c r="O303" s="210"/>
      <c r="P303" s="237"/>
      <c r="Q303" s="237"/>
      <c r="R303" s="237"/>
      <c r="S303" s="237"/>
      <c r="T303" s="237"/>
      <c r="U303" s="237"/>
      <c r="V303" s="237"/>
      <c r="W303"/>
      <c r="X303"/>
      <c r="Y303"/>
      <c r="Z303"/>
      <c r="AA303"/>
    </row>
    <row r="304" spans="1:27" ht="12.75">
      <c r="A304"/>
      <c r="B304"/>
      <c r="C304"/>
      <c r="D304"/>
      <c r="E304"/>
      <c r="F304"/>
      <c r="G304" s="210"/>
      <c r="H304" s="210"/>
      <c r="I304" s="210"/>
      <c r="J304" s="210"/>
      <c r="K304" s="210"/>
      <c r="L304" s="210"/>
      <c r="M304" s="210"/>
      <c r="N304" s="213"/>
      <c r="O304" s="210"/>
      <c r="P304" s="237"/>
      <c r="Q304" s="237"/>
      <c r="R304" s="237"/>
      <c r="S304" s="237"/>
      <c r="T304" s="237"/>
      <c r="U304" s="237"/>
      <c r="V304" s="237"/>
      <c r="W304"/>
      <c r="X304"/>
      <c r="Y304"/>
      <c r="Z304"/>
      <c r="AA304"/>
    </row>
    <row r="305" spans="1:27" ht="12.75">
      <c r="A305"/>
      <c r="B305"/>
      <c r="C305"/>
      <c r="D305"/>
      <c r="E305"/>
      <c r="F305"/>
      <c r="G305" s="210"/>
      <c r="H305" s="210"/>
      <c r="I305" s="210"/>
      <c r="J305" s="210"/>
      <c r="K305" s="210"/>
      <c r="L305" s="210"/>
      <c r="M305" s="210"/>
      <c r="N305" s="213"/>
      <c r="O305" s="210"/>
      <c r="P305" s="237"/>
      <c r="Q305" s="237"/>
      <c r="R305" s="237"/>
      <c r="S305" s="237"/>
      <c r="T305" s="237"/>
      <c r="U305" s="237"/>
      <c r="V305" s="237"/>
      <c r="W305"/>
      <c r="X305"/>
      <c r="Y305"/>
      <c r="Z305"/>
      <c r="AA305"/>
    </row>
    <row r="306" spans="1:27" ht="12.75">
      <c r="A306"/>
      <c r="B306"/>
      <c r="C306"/>
      <c r="D306"/>
      <c r="E306"/>
      <c r="F306"/>
      <c r="G306" s="210"/>
      <c r="H306" s="210"/>
      <c r="I306" s="210"/>
      <c r="J306" s="210"/>
      <c r="K306" s="210"/>
      <c r="L306" s="210"/>
      <c r="M306" s="210"/>
      <c r="N306" s="213"/>
      <c r="O306" s="210"/>
      <c r="P306" s="237"/>
      <c r="Q306" s="237"/>
      <c r="R306" s="237"/>
      <c r="S306" s="237"/>
      <c r="T306" s="237"/>
      <c r="U306" s="237"/>
      <c r="V306" s="237"/>
      <c r="W306"/>
      <c r="X306"/>
      <c r="Y306"/>
      <c r="Z306"/>
      <c r="AA306"/>
    </row>
    <row r="307" spans="1:27" ht="12.75">
      <c r="A307"/>
      <c r="B307"/>
      <c r="C307"/>
      <c r="D307"/>
      <c r="E307"/>
      <c r="F307"/>
      <c r="G307" s="210"/>
      <c r="H307" s="210"/>
      <c r="I307" s="210"/>
      <c r="J307" s="210"/>
      <c r="K307" s="210"/>
      <c r="L307" s="210"/>
      <c r="M307" s="210"/>
      <c r="N307" s="213"/>
      <c r="O307" s="210"/>
      <c r="P307" s="237"/>
      <c r="Q307" s="237"/>
      <c r="R307" s="237"/>
      <c r="S307" s="237"/>
      <c r="T307" s="237"/>
      <c r="U307" s="237"/>
      <c r="V307" s="237"/>
      <c r="W307"/>
      <c r="X307"/>
      <c r="Y307"/>
      <c r="Z307"/>
      <c r="AA307"/>
    </row>
    <row r="308" spans="1:27" ht="12.75">
      <c r="A308"/>
      <c r="B308"/>
      <c r="C308"/>
      <c r="D308"/>
      <c r="E308"/>
      <c r="F308"/>
      <c r="G308" s="210"/>
      <c r="H308" s="210"/>
      <c r="I308" s="210"/>
      <c r="J308" s="210"/>
      <c r="K308" s="210"/>
      <c r="L308" s="210"/>
      <c r="M308" s="210"/>
      <c r="N308" s="213"/>
      <c r="O308" s="210"/>
      <c r="P308" s="237"/>
      <c r="Q308" s="237"/>
      <c r="R308" s="237"/>
      <c r="S308" s="237"/>
      <c r="T308" s="237"/>
      <c r="U308" s="237"/>
      <c r="V308" s="237"/>
      <c r="W308"/>
      <c r="X308"/>
      <c r="Y308"/>
      <c r="Z308"/>
      <c r="AA308"/>
    </row>
    <row r="309" spans="1:27" ht="12.75">
      <c r="A309"/>
      <c r="B309"/>
      <c r="C309"/>
      <c r="D309"/>
      <c r="E309"/>
      <c r="F309"/>
      <c r="G309" s="210"/>
      <c r="H309" s="210"/>
      <c r="I309" s="210"/>
      <c r="J309" s="210"/>
      <c r="K309" s="210"/>
      <c r="L309" s="210"/>
      <c r="M309" s="210"/>
      <c r="N309" s="213"/>
      <c r="O309" s="210"/>
      <c r="P309" s="237"/>
      <c r="Q309" s="237"/>
      <c r="R309" s="237"/>
      <c r="S309" s="237"/>
      <c r="T309" s="237"/>
      <c r="U309" s="237"/>
      <c r="V309" s="237"/>
      <c r="W309"/>
      <c r="X309"/>
      <c r="Y309"/>
      <c r="Z309"/>
      <c r="AA309"/>
    </row>
    <row r="310" spans="1:27" ht="12.75">
      <c r="A310"/>
      <c r="B310"/>
      <c r="C310"/>
      <c r="D310"/>
      <c r="E310"/>
      <c r="F310"/>
      <c r="G310" s="210"/>
      <c r="H310" s="210"/>
      <c r="I310" s="210"/>
      <c r="J310" s="210"/>
      <c r="K310" s="210"/>
      <c r="L310" s="210"/>
      <c r="M310" s="210"/>
      <c r="N310" s="213"/>
      <c r="O310" s="210"/>
      <c r="P310" s="237"/>
      <c r="Q310" s="237"/>
      <c r="R310" s="237"/>
      <c r="S310" s="237"/>
      <c r="T310" s="237"/>
      <c r="U310" s="237"/>
      <c r="V310" s="237"/>
      <c r="W310"/>
      <c r="X310"/>
      <c r="Y310"/>
      <c r="Z310"/>
      <c r="AA310"/>
    </row>
    <row r="311" spans="1:27" ht="12.75">
      <c r="A311"/>
      <c r="B311"/>
      <c r="C311"/>
      <c r="D311"/>
      <c r="E311"/>
      <c r="F311"/>
      <c r="G311" s="210"/>
      <c r="H311" s="210"/>
      <c r="I311" s="210"/>
      <c r="J311" s="210"/>
      <c r="K311" s="210"/>
      <c r="L311" s="210"/>
      <c r="M311" s="210"/>
      <c r="N311" s="213"/>
      <c r="O311" s="210"/>
      <c r="P311" s="237"/>
      <c r="Q311" s="237"/>
      <c r="R311" s="237"/>
      <c r="S311" s="237"/>
      <c r="T311" s="237"/>
      <c r="U311" s="237"/>
      <c r="V311" s="237"/>
      <c r="W311"/>
      <c r="X311"/>
      <c r="Y311"/>
      <c r="Z311"/>
      <c r="AA311"/>
    </row>
    <row r="312" spans="1:27" ht="12.75">
      <c r="A312"/>
      <c r="B312"/>
      <c r="C312"/>
      <c r="D312"/>
      <c r="E312"/>
      <c r="F312"/>
      <c r="G312" s="210"/>
      <c r="H312" s="210"/>
      <c r="I312" s="210"/>
      <c r="J312" s="210"/>
      <c r="K312" s="210"/>
      <c r="L312" s="210"/>
      <c r="M312" s="210"/>
      <c r="N312" s="213"/>
      <c r="O312" s="210"/>
      <c r="P312" s="237"/>
      <c r="Q312" s="237"/>
      <c r="R312" s="237"/>
      <c r="S312" s="237"/>
      <c r="T312" s="237"/>
      <c r="U312" s="237"/>
      <c r="V312" s="237"/>
      <c r="W312"/>
      <c r="X312"/>
      <c r="Y312"/>
      <c r="Z312"/>
      <c r="AA312"/>
    </row>
    <row r="313" spans="1:27" ht="12.75">
      <c r="A313"/>
      <c r="B313"/>
      <c r="C313"/>
      <c r="D313"/>
      <c r="E313"/>
      <c r="F313"/>
      <c r="G313" s="210"/>
      <c r="H313" s="210"/>
      <c r="I313" s="210"/>
      <c r="J313" s="210"/>
      <c r="K313" s="210"/>
      <c r="L313" s="210"/>
      <c r="M313" s="210"/>
      <c r="N313" s="213"/>
      <c r="O313" s="210"/>
      <c r="P313" s="237"/>
      <c r="Q313" s="237"/>
      <c r="R313" s="237"/>
      <c r="S313" s="237"/>
      <c r="T313" s="237"/>
      <c r="U313" s="237"/>
      <c r="V313" s="237"/>
      <c r="W313"/>
      <c r="X313"/>
      <c r="Y313"/>
      <c r="Z313"/>
      <c r="AA313"/>
    </row>
    <row r="314" spans="1:27" ht="12.75">
      <c r="A314"/>
      <c r="B314"/>
      <c r="C314"/>
      <c r="D314"/>
      <c r="E314"/>
      <c r="F314"/>
      <c r="G314" s="210"/>
      <c r="H314" s="210"/>
      <c r="I314" s="210"/>
      <c r="J314" s="210"/>
      <c r="K314" s="210"/>
      <c r="L314" s="210"/>
      <c r="M314" s="210"/>
      <c r="N314" s="213"/>
      <c r="O314" s="210"/>
      <c r="P314" s="237"/>
      <c r="Q314" s="237"/>
      <c r="R314" s="237"/>
      <c r="S314" s="237"/>
      <c r="T314" s="237"/>
      <c r="U314" s="237"/>
      <c r="V314" s="237"/>
      <c r="W314"/>
      <c r="X314"/>
      <c r="Y314"/>
      <c r="Z314"/>
      <c r="AA314"/>
    </row>
    <row r="315" spans="1:27" ht="12.75">
      <c r="A315"/>
      <c r="B315"/>
      <c r="C315"/>
      <c r="D315"/>
      <c r="E315"/>
      <c r="F315"/>
      <c r="G315" s="210"/>
      <c r="H315" s="210"/>
      <c r="I315" s="210"/>
      <c r="J315" s="210"/>
      <c r="K315" s="210"/>
      <c r="L315" s="210"/>
      <c r="M315" s="210"/>
      <c r="N315" s="213"/>
      <c r="O315" s="210"/>
      <c r="P315" s="237"/>
      <c r="Q315" s="237"/>
      <c r="R315" s="237"/>
      <c r="S315" s="237"/>
      <c r="T315" s="237"/>
      <c r="U315" s="237"/>
      <c r="V315" s="237"/>
      <c r="W315"/>
      <c r="X315"/>
      <c r="Y315"/>
      <c r="Z315"/>
      <c r="AA315"/>
    </row>
    <row r="316" spans="1:27" ht="12.75">
      <c r="A316"/>
      <c r="B316"/>
      <c r="C316"/>
      <c r="D316"/>
      <c r="E316"/>
      <c r="F316"/>
      <c r="G316" s="210"/>
      <c r="H316" s="210"/>
      <c r="I316" s="210"/>
      <c r="J316" s="210"/>
      <c r="K316" s="210"/>
      <c r="L316" s="210"/>
      <c r="M316" s="210"/>
      <c r="N316" s="213"/>
      <c r="O316" s="210"/>
      <c r="P316" s="237"/>
      <c r="Q316" s="237"/>
      <c r="R316" s="237"/>
      <c r="S316" s="237"/>
      <c r="T316" s="237"/>
      <c r="U316" s="237"/>
      <c r="V316" s="237"/>
      <c r="W316"/>
      <c r="X316"/>
      <c r="Y316"/>
      <c r="Z316"/>
      <c r="AA316"/>
    </row>
    <row r="317" spans="1:27" ht="12.75">
      <c r="A317"/>
      <c r="B317"/>
      <c r="C317"/>
      <c r="D317"/>
      <c r="E317"/>
      <c r="F317"/>
      <c r="G317" s="210"/>
      <c r="H317" s="210"/>
      <c r="I317" s="210"/>
      <c r="J317" s="210"/>
      <c r="K317" s="210"/>
      <c r="L317" s="210"/>
      <c r="M317" s="210"/>
      <c r="N317" s="213"/>
      <c r="O317" s="210"/>
      <c r="P317" s="237"/>
      <c r="Q317" s="237"/>
      <c r="R317" s="237"/>
      <c r="S317" s="237"/>
      <c r="T317" s="237"/>
      <c r="U317" s="237"/>
      <c r="V317" s="237"/>
      <c r="W317"/>
      <c r="X317"/>
      <c r="Y317"/>
      <c r="Z317"/>
      <c r="AA317"/>
    </row>
    <row r="318" spans="1:27" ht="12.75">
      <c r="A318"/>
      <c r="B318"/>
      <c r="C318"/>
      <c r="D318"/>
      <c r="E318"/>
      <c r="F318"/>
      <c r="G318" s="210"/>
      <c r="H318" s="210"/>
      <c r="I318" s="210"/>
      <c r="J318" s="210"/>
      <c r="K318" s="210"/>
      <c r="L318" s="210"/>
      <c r="M318" s="210"/>
      <c r="N318" s="213"/>
      <c r="O318" s="210"/>
      <c r="P318" s="237"/>
      <c r="Q318" s="237"/>
      <c r="R318" s="237"/>
      <c r="S318" s="237"/>
      <c r="T318" s="237"/>
      <c r="U318" s="237"/>
      <c r="V318" s="237"/>
      <c r="W318"/>
      <c r="X318"/>
      <c r="Y318"/>
      <c r="Z318"/>
      <c r="AA318"/>
    </row>
    <row r="319" spans="1:27" ht="12.75">
      <c r="A319"/>
      <c r="B319"/>
      <c r="C319"/>
      <c r="D319"/>
      <c r="E319"/>
      <c r="F319"/>
      <c r="G319" s="210"/>
      <c r="H319" s="210"/>
      <c r="I319" s="210"/>
      <c r="J319" s="210"/>
      <c r="K319" s="210"/>
      <c r="L319" s="210"/>
      <c r="M319" s="210"/>
      <c r="N319" s="213"/>
      <c r="O319" s="210"/>
      <c r="P319" s="237"/>
      <c r="Q319" s="237"/>
      <c r="R319" s="237"/>
      <c r="S319" s="237"/>
      <c r="T319" s="237"/>
      <c r="U319" s="237"/>
      <c r="V319" s="237"/>
      <c r="W319"/>
      <c r="X319"/>
      <c r="Y319"/>
      <c r="Z319"/>
      <c r="AA319"/>
    </row>
    <row r="320" spans="1:27" ht="12.75">
      <c r="A320"/>
      <c r="B320"/>
      <c r="C320"/>
      <c r="D320"/>
      <c r="E320"/>
      <c r="F320"/>
      <c r="G320" s="210"/>
      <c r="H320" s="210"/>
      <c r="I320" s="210"/>
      <c r="J320" s="210"/>
      <c r="K320" s="210"/>
      <c r="L320" s="210"/>
      <c r="M320" s="210"/>
      <c r="N320" s="213"/>
      <c r="O320" s="210"/>
      <c r="P320" s="237"/>
      <c r="Q320" s="237"/>
      <c r="R320" s="237"/>
      <c r="S320" s="237"/>
      <c r="T320" s="237"/>
      <c r="U320" s="237"/>
      <c r="V320" s="237"/>
      <c r="W320"/>
      <c r="X320"/>
      <c r="Y320"/>
      <c r="Z320"/>
      <c r="AA320"/>
    </row>
    <row r="321" spans="1:27" ht="12.75">
      <c r="A321"/>
      <c r="B321"/>
      <c r="C321"/>
      <c r="D321"/>
      <c r="E321"/>
      <c r="F321"/>
      <c r="G321" s="210"/>
      <c r="H321" s="210"/>
      <c r="I321" s="210"/>
      <c r="J321" s="210"/>
      <c r="K321" s="210"/>
      <c r="L321" s="210"/>
      <c r="M321" s="210"/>
      <c r="N321" s="213"/>
      <c r="O321" s="210"/>
      <c r="P321" s="237"/>
      <c r="Q321" s="237"/>
      <c r="R321" s="237"/>
      <c r="S321" s="237"/>
      <c r="T321" s="237"/>
      <c r="U321" s="237"/>
      <c r="V321" s="237"/>
      <c r="W321"/>
      <c r="X321"/>
      <c r="Y321"/>
      <c r="Z321"/>
      <c r="AA321"/>
    </row>
    <row r="322" spans="1:27" ht="12.75">
      <c r="A322"/>
      <c r="B322"/>
      <c r="C322"/>
      <c r="D322"/>
      <c r="E322"/>
      <c r="F322"/>
      <c r="G322" s="210"/>
      <c r="H322" s="210"/>
      <c r="I322" s="210"/>
      <c r="J322" s="210"/>
      <c r="K322" s="210"/>
      <c r="L322" s="210"/>
      <c r="M322" s="210"/>
      <c r="N322" s="213"/>
      <c r="O322" s="210"/>
      <c r="P322" s="237"/>
      <c r="Q322" s="237"/>
      <c r="R322" s="237"/>
      <c r="S322" s="237"/>
      <c r="T322" s="237"/>
      <c r="U322" s="237"/>
      <c r="V322" s="237"/>
      <c r="W322"/>
      <c r="X322"/>
      <c r="Y322"/>
      <c r="Z322"/>
      <c r="AA322"/>
    </row>
    <row r="323" spans="1:27" ht="12.75">
      <c r="A323"/>
      <c r="B323"/>
      <c r="C323"/>
      <c r="D323"/>
      <c r="E323"/>
      <c r="F323"/>
      <c r="G323" s="210"/>
      <c r="H323" s="210"/>
      <c r="I323" s="210"/>
      <c r="J323" s="210"/>
      <c r="K323" s="210"/>
      <c r="L323" s="210"/>
      <c r="M323" s="210"/>
      <c r="N323" s="213"/>
      <c r="O323" s="210"/>
      <c r="P323" s="237"/>
      <c r="Q323" s="237"/>
      <c r="R323" s="237"/>
      <c r="S323" s="237"/>
      <c r="T323" s="237"/>
      <c r="U323" s="237"/>
      <c r="V323" s="237"/>
      <c r="W323"/>
      <c r="X323"/>
      <c r="Y323"/>
      <c r="Z323"/>
      <c r="AA323"/>
    </row>
    <row r="324" spans="1:27" ht="12.75">
      <c r="A324"/>
      <c r="B324"/>
      <c r="C324"/>
      <c r="D324"/>
      <c r="E324"/>
      <c r="F324"/>
      <c r="G324" s="210"/>
      <c r="H324" s="210"/>
      <c r="I324" s="210"/>
      <c r="J324" s="210"/>
      <c r="K324" s="210"/>
      <c r="L324" s="210"/>
      <c r="M324" s="210"/>
      <c r="N324" s="213"/>
      <c r="O324" s="210"/>
      <c r="P324" s="237"/>
      <c r="Q324" s="237"/>
      <c r="R324" s="237"/>
      <c r="S324" s="237"/>
      <c r="T324" s="237"/>
      <c r="U324" s="237"/>
      <c r="V324" s="237"/>
      <c r="W324"/>
      <c r="X324"/>
      <c r="Y324"/>
      <c r="Z324"/>
      <c r="AA324"/>
    </row>
    <row r="325" spans="1:27" ht="12.75">
      <c r="A325"/>
      <c r="B325"/>
      <c r="C325"/>
      <c r="D325"/>
      <c r="E325"/>
      <c r="F325"/>
      <c r="G325" s="210"/>
      <c r="H325" s="210"/>
      <c r="I325" s="210"/>
      <c r="J325" s="210"/>
      <c r="K325" s="210"/>
      <c r="L325" s="210"/>
      <c r="M325" s="210"/>
      <c r="N325" s="213"/>
      <c r="O325" s="210"/>
      <c r="P325" s="237"/>
      <c r="Q325" s="237"/>
      <c r="R325" s="237"/>
      <c r="S325" s="237"/>
      <c r="T325" s="237"/>
      <c r="U325" s="237"/>
      <c r="V325" s="237"/>
      <c r="W325"/>
      <c r="X325"/>
      <c r="Y325"/>
      <c r="Z325"/>
      <c r="AA325"/>
    </row>
    <row r="326" spans="1:27" ht="12.75">
      <c r="A326"/>
      <c r="B326"/>
      <c r="C326"/>
      <c r="D326"/>
      <c r="E326"/>
      <c r="F326"/>
      <c r="G326" s="210"/>
      <c r="H326" s="210"/>
      <c r="I326" s="210"/>
      <c r="J326" s="210"/>
      <c r="K326" s="210"/>
      <c r="L326" s="210"/>
      <c r="M326" s="210"/>
      <c r="N326" s="213"/>
      <c r="O326" s="210"/>
      <c r="P326" s="237"/>
      <c r="Q326" s="237"/>
      <c r="R326" s="237"/>
      <c r="S326" s="237"/>
      <c r="T326" s="237"/>
      <c r="U326" s="237"/>
      <c r="V326" s="237"/>
      <c r="W326"/>
      <c r="X326"/>
      <c r="Y326"/>
      <c r="Z326"/>
      <c r="AA326"/>
    </row>
    <row r="327" spans="1:27" ht="12.75">
      <c r="A327"/>
      <c r="B327"/>
      <c r="C327"/>
      <c r="D327"/>
      <c r="E327"/>
      <c r="F327"/>
      <c r="G327" s="210"/>
      <c r="H327" s="210"/>
      <c r="I327" s="210"/>
      <c r="J327" s="210"/>
      <c r="K327" s="210"/>
      <c r="L327" s="210"/>
      <c r="M327" s="210"/>
      <c r="N327" s="213"/>
      <c r="O327" s="210"/>
      <c r="P327" s="237"/>
      <c r="Q327" s="237"/>
      <c r="R327" s="237"/>
      <c r="S327" s="237"/>
      <c r="T327" s="237"/>
      <c r="U327" s="237"/>
      <c r="V327" s="237"/>
      <c r="W327"/>
      <c r="X327"/>
      <c r="Y327"/>
      <c r="Z327"/>
      <c r="AA327"/>
    </row>
    <row r="328" spans="1:27" ht="12.75">
      <c r="A328"/>
      <c r="B328"/>
      <c r="C328"/>
      <c r="D328"/>
      <c r="E328"/>
      <c r="F328"/>
      <c r="G328" s="210"/>
      <c r="H328" s="210"/>
      <c r="I328" s="210"/>
      <c r="J328" s="210"/>
      <c r="K328" s="210"/>
      <c r="L328" s="210"/>
      <c r="M328" s="210"/>
      <c r="N328" s="213"/>
      <c r="O328" s="210"/>
      <c r="P328" s="237"/>
      <c r="Q328" s="237"/>
      <c r="R328" s="237"/>
      <c r="S328" s="237"/>
      <c r="T328" s="237"/>
      <c r="U328" s="237"/>
      <c r="V328" s="237"/>
      <c r="W328"/>
      <c r="X328"/>
      <c r="Y328"/>
      <c r="Z328"/>
      <c r="AA328"/>
    </row>
    <row r="329" spans="1:27" ht="12.75">
      <c r="A329"/>
      <c r="B329"/>
      <c r="C329"/>
      <c r="D329"/>
      <c r="E329"/>
      <c r="F329"/>
      <c r="G329" s="210"/>
      <c r="H329" s="210"/>
      <c r="I329" s="210"/>
      <c r="J329" s="210"/>
      <c r="K329" s="210"/>
      <c r="L329" s="210"/>
      <c r="M329" s="210"/>
      <c r="N329" s="213"/>
      <c r="O329" s="210"/>
      <c r="P329" s="237"/>
      <c r="Q329" s="237"/>
      <c r="R329" s="237"/>
      <c r="S329" s="237"/>
      <c r="T329" s="237"/>
      <c r="U329" s="237"/>
      <c r="V329" s="237"/>
      <c r="W329"/>
      <c r="X329"/>
      <c r="Y329"/>
      <c r="Z329"/>
      <c r="AA329"/>
    </row>
    <row r="330" spans="1:27" ht="12.75">
      <c r="A330"/>
      <c r="B330"/>
      <c r="C330"/>
      <c r="D330"/>
      <c r="E330"/>
      <c r="F330"/>
      <c r="G330" s="210"/>
      <c r="H330" s="210"/>
      <c r="I330" s="210"/>
      <c r="J330" s="210"/>
      <c r="K330" s="210"/>
      <c r="L330" s="210"/>
      <c r="M330" s="210"/>
      <c r="N330" s="213"/>
      <c r="O330" s="210"/>
      <c r="P330" s="237"/>
      <c r="Q330" s="237"/>
      <c r="R330" s="237"/>
      <c r="S330" s="237"/>
      <c r="T330" s="237"/>
      <c r="U330" s="237"/>
      <c r="V330" s="237"/>
      <c r="W330"/>
      <c r="X330"/>
      <c r="Y330"/>
      <c r="Z330"/>
      <c r="AA330"/>
    </row>
    <row r="331" spans="1:27" ht="12.75">
      <c r="A331"/>
      <c r="B331"/>
      <c r="C331"/>
      <c r="D331"/>
      <c r="E331"/>
      <c r="F331"/>
      <c r="G331" s="210"/>
      <c r="H331" s="210"/>
      <c r="I331" s="210"/>
      <c r="J331" s="210"/>
      <c r="K331" s="210"/>
      <c r="L331" s="210"/>
      <c r="M331" s="210"/>
      <c r="N331" s="213"/>
      <c r="O331" s="210"/>
      <c r="P331" s="237"/>
      <c r="Q331" s="237"/>
      <c r="R331" s="237"/>
      <c r="S331" s="237"/>
      <c r="T331" s="237"/>
      <c r="U331" s="237"/>
      <c r="V331" s="237"/>
      <c r="W331"/>
      <c r="X331"/>
      <c r="Y331"/>
      <c r="Z331"/>
      <c r="AA331"/>
    </row>
    <row r="332" spans="1:27" ht="12.75">
      <c r="A332"/>
      <c r="B332"/>
      <c r="C332"/>
      <c r="D332"/>
      <c r="E332"/>
      <c r="F332"/>
      <c r="G332" s="210"/>
      <c r="H332" s="210"/>
      <c r="I332" s="210"/>
      <c r="J332" s="210"/>
      <c r="K332" s="210"/>
      <c r="L332" s="210"/>
      <c r="M332" s="210"/>
      <c r="N332" s="213"/>
      <c r="O332" s="210"/>
      <c r="P332" s="237"/>
      <c r="Q332" s="237"/>
      <c r="R332" s="237"/>
      <c r="S332" s="237"/>
      <c r="T332" s="237"/>
      <c r="U332" s="237"/>
      <c r="V332" s="237"/>
      <c r="W332"/>
      <c r="X332"/>
      <c r="Y332"/>
      <c r="Z332"/>
      <c r="AA332"/>
    </row>
    <row r="333" spans="1:27" ht="12.75">
      <c r="A333"/>
      <c r="B333"/>
      <c r="C333"/>
      <c r="D333"/>
      <c r="E333"/>
      <c r="F333"/>
      <c r="G333" s="210"/>
      <c r="H333" s="210"/>
      <c r="I333" s="210"/>
      <c r="J333" s="210"/>
      <c r="K333" s="210"/>
      <c r="L333" s="210"/>
      <c r="M333" s="210"/>
      <c r="N333" s="213"/>
      <c r="O333" s="210"/>
      <c r="P333" s="237"/>
      <c r="Q333" s="237"/>
      <c r="R333" s="237"/>
      <c r="S333" s="237"/>
      <c r="T333" s="237"/>
      <c r="U333" s="237"/>
      <c r="V333" s="237"/>
      <c r="W333"/>
      <c r="X333"/>
      <c r="Y333"/>
      <c r="Z333"/>
      <c r="AA333"/>
    </row>
    <row r="334" spans="1:27" ht="12.75">
      <c r="A334"/>
      <c r="B334"/>
      <c r="C334"/>
      <c r="D334"/>
      <c r="E334"/>
      <c r="F334"/>
      <c r="P334" s="237"/>
      <c r="Q334" s="237"/>
      <c r="R334" s="237"/>
      <c r="S334" s="237"/>
      <c r="T334" s="237"/>
      <c r="U334" s="237"/>
      <c r="V334" s="237"/>
      <c r="W334"/>
      <c r="X334"/>
      <c r="Y334"/>
      <c r="Z334"/>
      <c r="AA334"/>
    </row>
    <row r="335" spans="1:27" ht="12.75">
      <c r="A335"/>
      <c r="B335"/>
      <c r="C335"/>
      <c r="D335"/>
      <c r="E335"/>
      <c r="F335"/>
      <c r="P335" s="237"/>
      <c r="Q335" s="237"/>
      <c r="R335" s="237"/>
      <c r="S335" s="237"/>
      <c r="T335" s="237"/>
      <c r="U335" s="237"/>
      <c r="V335" s="237"/>
      <c r="W335"/>
      <c r="X335"/>
      <c r="Y335"/>
      <c r="Z335"/>
      <c r="AA335"/>
    </row>
    <row r="336" spans="1:27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 s="237"/>
      <c r="Q336" s="237"/>
      <c r="R336" s="237"/>
      <c r="S336" s="237"/>
      <c r="T336" s="237"/>
      <c r="U336" s="237"/>
      <c r="V336" s="237"/>
      <c r="W336"/>
      <c r="X336"/>
      <c r="Y336"/>
      <c r="Z336"/>
      <c r="AA336"/>
    </row>
    <row r="337" spans="1:27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 s="237"/>
      <c r="Q337" s="237"/>
      <c r="R337" s="237"/>
      <c r="S337" s="237"/>
      <c r="T337" s="237"/>
      <c r="U337" s="237"/>
      <c r="V337" s="237"/>
      <c r="W337"/>
      <c r="X337"/>
      <c r="Y337"/>
      <c r="Z337"/>
      <c r="AA337"/>
    </row>
    <row r="338" spans="1:27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 s="237"/>
      <c r="Q338" s="237"/>
      <c r="R338" s="237"/>
      <c r="S338" s="237"/>
      <c r="T338" s="237"/>
      <c r="U338" s="237"/>
      <c r="V338" s="237"/>
      <c r="W338"/>
      <c r="X338"/>
      <c r="Y338"/>
      <c r="Z338"/>
      <c r="AA338"/>
    </row>
    <row r="339" spans="1:27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 s="237"/>
      <c r="Q339" s="237"/>
      <c r="R339" s="237"/>
      <c r="S339" s="237"/>
      <c r="T339" s="237"/>
      <c r="U339" s="237"/>
      <c r="V339" s="237"/>
      <c r="W339"/>
      <c r="X339"/>
      <c r="Y339"/>
      <c r="Z339"/>
      <c r="AA339"/>
    </row>
    <row r="340" spans="1:27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 s="237"/>
      <c r="Q340" s="237"/>
      <c r="R340" s="237"/>
      <c r="S340" s="237"/>
      <c r="T340" s="237"/>
      <c r="U340" s="237"/>
      <c r="V340" s="237"/>
      <c r="W340"/>
      <c r="X340"/>
      <c r="Y340"/>
      <c r="Z340"/>
      <c r="AA340"/>
    </row>
    <row r="341" spans="1:27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 s="237"/>
      <c r="Q341" s="237"/>
      <c r="R341" s="237"/>
      <c r="S341" s="237"/>
      <c r="T341" s="237"/>
      <c r="U341" s="237"/>
      <c r="V341" s="237"/>
      <c r="W341"/>
      <c r="X341"/>
      <c r="Y341"/>
      <c r="Z341"/>
      <c r="AA341"/>
    </row>
    <row r="342" spans="1:27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 s="237"/>
      <c r="Q342" s="237"/>
      <c r="R342" s="237"/>
      <c r="S342" s="237"/>
      <c r="T342" s="237"/>
      <c r="U342" s="237"/>
      <c r="V342" s="237"/>
      <c r="W342"/>
      <c r="X342"/>
      <c r="Y342"/>
      <c r="Z342"/>
      <c r="AA342"/>
    </row>
    <row r="343" spans="1:27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 s="237"/>
      <c r="Q343" s="237"/>
      <c r="R343" s="237"/>
      <c r="S343" s="237"/>
      <c r="T343" s="237"/>
      <c r="U343" s="237"/>
      <c r="V343" s="237"/>
      <c r="W343"/>
      <c r="X343"/>
      <c r="Y343"/>
      <c r="Z343"/>
      <c r="AA343"/>
    </row>
    <row r="344" spans="1:27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 s="237"/>
      <c r="Q344" s="237"/>
      <c r="R344" s="237"/>
      <c r="S344" s="237"/>
      <c r="T344" s="237"/>
      <c r="U344" s="237"/>
      <c r="V344" s="237"/>
      <c r="W344"/>
      <c r="X344"/>
      <c r="Y344"/>
      <c r="Z344"/>
      <c r="AA344"/>
    </row>
    <row r="345" spans="1:27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 s="237"/>
      <c r="Q345" s="237"/>
      <c r="R345" s="237"/>
      <c r="S345" s="237"/>
      <c r="T345" s="237"/>
      <c r="U345" s="237"/>
      <c r="V345" s="237"/>
      <c r="W345"/>
      <c r="X345"/>
      <c r="Y345"/>
      <c r="Z345"/>
      <c r="AA345"/>
    </row>
    <row r="346" spans="1:27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 s="237"/>
      <c r="Q346" s="237"/>
      <c r="R346" s="237"/>
      <c r="S346" s="237"/>
      <c r="T346" s="237"/>
      <c r="U346" s="237"/>
      <c r="V346" s="237"/>
      <c r="W346"/>
      <c r="X346"/>
      <c r="Y346"/>
      <c r="Z346"/>
      <c r="AA346"/>
    </row>
    <row r="347" spans="1:27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 s="237"/>
      <c r="Q347" s="237"/>
      <c r="R347" s="237"/>
      <c r="S347" s="237"/>
      <c r="T347" s="237"/>
      <c r="U347" s="237"/>
      <c r="V347" s="237"/>
      <c r="W347"/>
      <c r="X347"/>
      <c r="Y347"/>
      <c r="Z347"/>
      <c r="AA347"/>
    </row>
    <row r="348" spans="1:27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 s="237"/>
      <c r="Q348" s="237"/>
      <c r="R348" s="237"/>
      <c r="S348" s="237"/>
      <c r="T348" s="237"/>
      <c r="U348" s="237"/>
      <c r="V348" s="237"/>
      <c r="W348"/>
      <c r="X348"/>
      <c r="Y348"/>
      <c r="Z348"/>
      <c r="AA348"/>
    </row>
    <row r="349" spans="1:27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 s="237"/>
      <c r="Q349" s="237"/>
      <c r="R349" s="237"/>
      <c r="S349" s="237"/>
      <c r="T349" s="237"/>
      <c r="U349" s="237"/>
      <c r="V349" s="237"/>
      <c r="W349"/>
      <c r="X349"/>
      <c r="Y349"/>
      <c r="Z349"/>
      <c r="AA349"/>
    </row>
    <row r="350" spans="1:27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 s="237"/>
      <c r="Q350" s="237"/>
      <c r="R350" s="237"/>
      <c r="S350" s="237"/>
      <c r="T350" s="237"/>
      <c r="U350" s="237"/>
      <c r="V350" s="237"/>
      <c r="W350"/>
      <c r="X350"/>
      <c r="Y350"/>
      <c r="Z350"/>
      <c r="AA350"/>
    </row>
    <row r="351" spans="1:27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 s="237"/>
      <c r="Q351" s="237"/>
      <c r="R351" s="237"/>
      <c r="S351" s="237"/>
      <c r="T351" s="237"/>
      <c r="U351" s="237"/>
      <c r="V351" s="237"/>
      <c r="W351"/>
      <c r="X351"/>
      <c r="Y351"/>
      <c r="Z351"/>
      <c r="AA351"/>
    </row>
    <row r="352" spans="1:27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 s="237"/>
      <c r="Q352" s="237"/>
      <c r="R352" s="237"/>
      <c r="S352" s="237"/>
      <c r="T352" s="237"/>
      <c r="U352" s="237"/>
      <c r="V352" s="237"/>
      <c r="W352"/>
      <c r="X352"/>
      <c r="Y352"/>
      <c r="Z352"/>
      <c r="AA352"/>
    </row>
    <row r="353" spans="1:27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 s="237"/>
      <c r="Q353" s="237"/>
      <c r="R353" s="237"/>
      <c r="S353" s="237"/>
      <c r="T353" s="237"/>
      <c r="U353" s="237"/>
      <c r="V353" s="237"/>
      <c r="W353"/>
      <c r="X353"/>
      <c r="Y353"/>
      <c r="Z353"/>
      <c r="AA353"/>
    </row>
    <row r="354" spans="1:27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 s="237"/>
      <c r="Q354" s="237"/>
      <c r="R354" s="237"/>
      <c r="S354" s="237"/>
      <c r="T354" s="237"/>
      <c r="U354" s="237"/>
      <c r="V354" s="237"/>
      <c r="W354"/>
      <c r="X354"/>
      <c r="Y354"/>
      <c r="Z354"/>
      <c r="AA354"/>
    </row>
    <row r="355" spans="1:27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 s="237"/>
      <c r="Q355" s="237"/>
      <c r="R355" s="237"/>
      <c r="S355" s="237"/>
      <c r="T355" s="237"/>
      <c r="U355" s="237"/>
      <c r="V355" s="237"/>
      <c r="W355"/>
      <c r="X355"/>
      <c r="Y355"/>
      <c r="Z355"/>
      <c r="AA355"/>
    </row>
    <row r="356" spans="1:27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 s="237"/>
      <c r="Q356" s="237"/>
      <c r="R356" s="237"/>
      <c r="S356" s="237"/>
      <c r="T356" s="237"/>
      <c r="U356" s="237"/>
      <c r="V356" s="237"/>
      <c r="W356"/>
      <c r="X356"/>
      <c r="Y356"/>
      <c r="Z356"/>
      <c r="AA356"/>
    </row>
    <row r="357" spans="1:27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 s="237"/>
      <c r="Q357" s="237"/>
      <c r="R357" s="237"/>
      <c r="S357" s="237"/>
      <c r="T357" s="237"/>
      <c r="U357" s="237"/>
      <c r="V357" s="237"/>
      <c r="W357"/>
      <c r="X357"/>
      <c r="Y357"/>
      <c r="Z357"/>
      <c r="AA357"/>
    </row>
    <row r="358" spans="1:27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 s="237"/>
      <c r="Q358" s="237"/>
      <c r="R358" s="237"/>
      <c r="S358" s="237"/>
      <c r="T358" s="237"/>
      <c r="U358" s="237"/>
      <c r="V358" s="237"/>
      <c r="W358"/>
      <c r="X358"/>
      <c r="Y358"/>
      <c r="Z358"/>
      <c r="AA358"/>
    </row>
    <row r="359" spans="1:27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 s="237"/>
      <c r="Q359" s="237"/>
      <c r="R359" s="237"/>
      <c r="S359" s="237"/>
      <c r="T359" s="237"/>
      <c r="U359" s="237"/>
      <c r="V359" s="237"/>
      <c r="W359"/>
      <c r="X359"/>
      <c r="Y359"/>
      <c r="Z359"/>
      <c r="AA359"/>
    </row>
    <row r="360" spans="1:27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 s="237"/>
      <c r="Q360" s="237"/>
      <c r="R360" s="237"/>
      <c r="S360" s="237"/>
      <c r="T360" s="237"/>
      <c r="U360" s="237"/>
      <c r="V360" s="237"/>
      <c r="W360"/>
      <c r="X360"/>
      <c r="Y360"/>
      <c r="Z360"/>
      <c r="AA360"/>
    </row>
    <row r="361" spans="1:27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 s="237"/>
      <c r="Q361" s="237"/>
      <c r="R361" s="237"/>
      <c r="S361" s="237"/>
      <c r="T361" s="237"/>
      <c r="U361" s="237"/>
      <c r="V361" s="237"/>
      <c r="W361"/>
      <c r="X361"/>
      <c r="Y361"/>
      <c r="Z361"/>
      <c r="AA361"/>
    </row>
    <row r="362" spans="1:27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 s="237"/>
      <c r="Q362" s="237"/>
      <c r="R362" s="237"/>
      <c r="S362" s="237"/>
      <c r="T362" s="237"/>
      <c r="U362" s="237"/>
      <c r="V362" s="237"/>
      <c r="W362"/>
      <c r="X362"/>
      <c r="Y362"/>
      <c r="Z362"/>
      <c r="AA362"/>
    </row>
    <row r="363" spans="1:27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 s="237"/>
      <c r="Q363" s="237"/>
      <c r="R363" s="237"/>
      <c r="S363" s="237"/>
      <c r="T363" s="237"/>
      <c r="U363" s="237"/>
      <c r="V363" s="237"/>
      <c r="W363"/>
      <c r="X363"/>
      <c r="Y363"/>
      <c r="Z363"/>
      <c r="AA363"/>
    </row>
    <row r="364" spans="1:27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 s="237"/>
      <c r="Q364" s="237"/>
      <c r="R364" s="237"/>
      <c r="S364" s="237"/>
      <c r="T364" s="237"/>
      <c r="U364" s="237"/>
      <c r="V364" s="237"/>
      <c r="W364"/>
      <c r="X364"/>
      <c r="Y364"/>
      <c r="Z364"/>
      <c r="AA364"/>
    </row>
    <row r="365" spans="1:27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 s="237"/>
      <c r="Q365" s="237"/>
      <c r="R365" s="237"/>
      <c r="S365" s="237"/>
      <c r="T365" s="237"/>
      <c r="U365" s="237"/>
      <c r="V365" s="237"/>
      <c r="W365"/>
      <c r="X365"/>
      <c r="Y365"/>
      <c r="Z365"/>
      <c r="AA365"/>
    </row>
    <row r="366" spans="1:27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 s="237"/>
      <c r="Q366" s="237"/>
      <c r="R366" s="237"/>
      <c r="S366" s="237"/>
      <c r="T366" s="237"/>
      <c r="U366" s="237"/>
      <c r="V366" s="237"/>
      <c r="W366"/>
      <c r="X366"/>
      <c r="Y366"/>
      <c r="Z366"/>
      <c r="AA366"/>
    </row>
    <row r="367" spans="1:27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 s="237"/>
      <c r="Q367" s="237"/>
      <c r="R367" s="237"/>
      <c r="S367" s="237"/>
      <c r="T367" s="237"/>
      <c r="U367" s="237"/>
      <c r="V367" s="237"/>
      <c r="W367"/>
      <c r="X367"/>
      <c r="Y367"/>
      <c r="Z367"/>
      <c r="AA367"/>
    </row>
    <row r="368" spans="1:27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 s="237"/>
      <c r="Q368" s="237"/>
      <c r="R368" s="237"/>
      <c r="S368" s="237"/>
      <c r="T368" s="237"/>
      <c r="U368" s="237"/>
      <c r="V368" s="237"/>
      <c r="W368"/>
      <c r="X368"/>
      <c r="Y368"/>
      <c r="Z368"/>
      <c r="AA368"/>
    </row>
    <row r="369" spans="1:27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 s="237"/>
      <c r="Q369" s="237"/>
      <c r="R369" s="237"/>
      <c r="S369" s="237"/>
      <c r="T369" s="237"/>
      <c r="U369" s="237"/>
      <c r="V369" s="237"/>
      <c r="W369"/>
      <c r="X369"/>
      <c r="Y369"/>
      <c r="Z369"/>
      <c r="AA369"/>
    </row>
    <row r="370" spans="1:27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 s="237"/>
      <c r="Q370" s="237"/>
      <c r="R370" s="237"/>
      <c r="S370" s="237"/>
      <c r="T370" s="237"/>
      <c r="U370" s="237"/>
      <c r="V370" s="237"/>
      <c r="W370"/>
      <c r="X370"/>
      <c r="Y370"/>
      <c r="Z370"/>
      <c r="AA370"/>
    </row>
    <row r="371" spans="1:27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 s="237"/>
      <c r="Q371" s="237"/>
      <c r="R371" s="237"/>
      <c r="S371" s="237"/>
      <c r="T371" s="237"/>
      <c r="U371" s="237"/>
      <c r="V371" s="237"/>
      <c r="W371"/>
      <c r="X371"/>
      <c r="Y371"/>
      <c r="Z371"/>
      <c r="AA371"/>
    </row>
    <row r="372" spans="1:27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 s="237"/>
      <c r="Q372" s="237"/>
      <c r="R372" s="237"/>
      <c r="S372" s="237"/>
      <c r="T372" s="237"/>
      <c r="U372" s="237"/>
      <c r="V372" s="237"/>
      <c r="W372"/>
      <c r="X372"/>
      <c r="Y372"/>
      <c r="Z372"/>
      <c r="AA372"/>
    </row>
    <row r="373" spans="1:27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 s="237"/>
      <c r="Q373" s="237"/>
      <c r="R373" s="237"/>
      <c r="S373" s="237"/>
      <c r="T373" s="237"/>
      <c r="U373" s="237"/>
      <c r="V373" s="237"/>
      <c r="W373"/>
      <c r="X373"/>
      <c r="Y373"/>
      <c r="Z373"/>
      <c r="AA373"/>
    </row>
    <row r="374" spans="1:27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 s="237"/>
      <c r="Q374" s="237"/>
      <c r="R374" s="237"/>
      <c r="S374" s="237"/>
      <c r="T374" s="237"/>
      <c r="U374" s="237"/>
      <c r="V374" s="237"/>
      <c r="W374"/>
      <c r="X374"/>
      <c r="Y374"/>
      <c r="Z374"/>
      <c r="AA374"/>
    </row>
    <row r="375" spans="1:27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 s="237"/>
      <c r="Q375" s="237"/>
      <c r="R375" s="237"/>
      <c r="S375" s="237"/>
      <c r="T375" s="237"/>
      <c r="U375" s="237"/>
      <c r="V375" s="237"/>
      <c r="W375"/>
      <c r="X375"/>
      <c r="Y375"/>
      <c r="Z375"/>
      <c r="AA375"/>
    </row>
    <row r="376" spans="1:27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 s="237"/>
      <c r="Q376" s="237"/>
      <c r="R376" s="237"/>
      <c r="S376" s="237"/>
      <c r="T376" s="237"/>
      <c r="U376" s="237"/>
      <c r="V376" s="237"/>
      <c r="W376"/>
      <c r="X376"/>
      <c r="Y376"/>
      <c r="Z376"/>
      <c r="AA376"/>
    </row>
    <row r="377" spans="1:27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 s="237"/>
      <c r="Q377" s="237"/>
      <c r="R377" s="237"/>
      <c r="S377" s="237"/>
      <c r="T377" s="237"/>
      <c r="U377" s="237"/>
      <c r="V377" s="237"/>
      <c r="W377"/>
      <c r="X377"/>
      <c r="Y377"/>
      <c r="Z377"/>
      <c r="AA377"/>
    </row>
    <row r="378" spans="1:27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 s="237"/>
      <c r="Q378" s="237"/>
      <c r="R378" s="237"/>
      <c r="S378" s="237"/>
      <c r="T378" s="237"/>
      <c r="U378" s="237"/>
      <c r="V378" s="237"/>
      <c r="W378"/>
      <c r="X378"/>
      <c r="Y378"/>
      <c r="Z378"/>
      <c r="AA378"/>
    </row>
    <row r="379" spans="1:27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 s="237"/>
      <c r="Q379" s="237"/>
      <c r="R379" s="237"/>
      <c r="S379" s="237"/>
      <c r="T379" s="237"/>
      <c r="U379" s="237"/>
      <c r="V379" s="237"/>
      <c r="W379"/>
      <c r="X379"/>
      <c r="Y379"/>
      <c r="Z379"/>
      <c r="AA379"/>
    </row>
    <row r="380" spans="1:27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 s="237"/>
      <c r="Q380" s="237"/>
      <c r="R380" s="237"/>
      <c r="S380" s="237"/>
      <c r="T380" s="237"/>
      <c r="U380" s="237"/>
      <c r="V380" s="237"/>
      <c r="W380"/>
      <c r="X380"/>
      <c r="Y380"/>
      <c r="Z380"/>
      <c r="AA380"/>
    </row>
    <row r="381" spans="1:27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 s="237"/>
      <c r="Q381" s="237"/>
      <c r="R381" s="237"/>
      <c r="S381" s="237"/>
      <c r="T381" s="237"/>
      <c r="U381" s="237"/>
      <c r="V381" s="237"/>
      <c r="W381"/>
      <c r="X381"/>
      <c r="Y381"/>
      <c r="Z381"/>
      <c r="AA381"/>
    </row>
    <row r="382" spans="1:27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 s="237"/>
      <c r="Q382" s="237"/>
      <c r="R382" s="237"/>
      <c r="S382" s="237"/>
      <c r="T382" s="237"/>
      <c r="U382" s="237"/>
      <c r="V382" s="237"/>
      <c r="W382"/>
      <c r="X382"/>
      <c r="Y382"/>
      <c r="Z382"/>
      <c r="AA382"/>
    </row>
    <row r="383" spans="1:27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 s="237"/>
      <c r="Q383" s="237"/>
      <c r="R383" s="237"/>
      <c r="S383" s="237"/>
      <c r="T383" s="237"/>
      <c r="U383" s="237"/>
      <c r="V383" s="237"/>
      <c r="W383"/>
      <c r="X383"/>
      <c r="Y383"/>
      <c r="Z383"/>
      <c r="AA383"/>
    </row>
    <row r="384" spans="1:27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 s="237"/>
      <c r="Q384" s="237"/>
      <c r="R384" s="237"/>
      <c r="S384" s="237"/>
      <c r="T384" s="237"/>
      <c r="U384" s="237"/>
      <c r="V384" s="237"/>
      <c r="W384"/>
      <c r="X384"/>
      <c r="Y384"/>
      <c r="Z384"/>
      <c r="AA384"/>
    </row>
    <row r="385" spans="1:27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 s="237"/>
      <c r="Q385" s="237"/>
      <c r="R385" s="237"/>
      <c r="S385" s="237"/>
      <c r="T385" s="237"/>
      <c r="U385" s="237"/>
      <c r="V385" s="237"/>
      <c r="W385"/>
      <c r="X385"/>
      <c r="Y385"/>
      <c r="Z385"/>
      <c r="AA385"/>
    </row>
    <row r="386" spans="1:27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 s="237"/>
      <c r="Q386" s="237"/>
      <c r="R386" s="237"/>
      <c r="S386" s="237"/>
      <c r="T386" s="237"/>
      <c r="U386" s="237"/>
      <c r="V386" s="237"/>
      <c r="W386"/>
      <c r="X386"/>
      <c r="Y386"/>
      <c r="Z386"/>
      <c r="AA386"/>
    </row>
    <row r="387" spans="1:27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 s="237"/>
      <c r="Q387" s="237"/>
      <c r="R387" s="237"/>
      <c r="S387" s="237"/>
      <c r="T387" s="237"/>
      <c r="U387" s="237"/>
      <c r="V387" s="237"/>
      <c r="W387"/>
      <c r="X387"/>
      <c r="Y387"/>
      <c r="Z387"/>
      <c r="AA387"/>
    </row>
    <row r="388" spans="1:27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 s="237"/>
      <c r="Q388" s="237"/>
      <c r="R388" s="237"/>
      <c r="S388" s="237"/>
      <c r="T388" s="237"/>
      <c r="U388" s="237"/>
      <c r="V388" s="237"/>
      <c r="W388"/>
      <c r="X388"/>
      <c r="Y388"/>
      <c r="Z388"/>
      <c r="AA388"/>
    </row>
    <row r="389" spans="1:27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 s="237"/>
      <c r="Q389" s="237"/>
      <c r="R389" s="237"/>
      <c r="S389" s="237"/>
      <c r="T389" s="237"/>
      <c r="U389" s="237"/>
      <c r="V389" s="237"/>
      <c r="W389"/>
      <c r="X389"/>
      <c r="Y389"/>
      <c r="Z389"/>
      <c r="AA389"/>
    </row>
    <row r="390" spans="1:27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 s="237"/>
      <c r="Q390" s="237"/>
      <c r="R390" s="237"/>
      <c r="S390" s="237"/>
      <c r="T390" s="237"/>
      <c r="U390" s="237"/>
      <c r="V390" s="237"/>
      <c r="W390"/>
      <c r="X390"/>
      <c r="Y390"/>
      <c r="Z390"/>
      <c r="AA390"/>
    </row>
    <row r="391" spans="1:27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 s="237"/>
      <c r="Q391" s="237"/>
      <c r="R391" s="237"/>
      <c r="S391" s="237"/>
      <c r="T391" s="237"/>
      <c r="U391" s="237"/>
      <c r="V391" s="237"/>
      <c r="W391"/>
      <c r="X391"/>
      <c r="Y391"/>
      <c r="Z391"/>
      <c r="AA391"/>
    </row>
    <row r="392" spans="1:27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 s="237"/>
      <c r="Q392" s="237"/>
      <c r="R392" s="237"/>
      <c r="S392" s="237"/>
      <c r="T392" s="237"/>
      <c r="U392" s="237"/>
      <c r="V392" s="237"/>
      <c r="W392"/>
      <c r="X392"/>
      <c r="Y392"/>
      <c r="Z392"/>
      <c r="AA392"/>
    </row>
    <row r="393" spans="1:27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 s="237"/>
      <c r="Q393" s="237"/>
      <c r="R393" s="237"/>
      <c r="S393" s="237"/>
      <c r="T393" s="237"/>
      <c r="U393" s="237"/>
      <c r="V393" s="237"/>
      <c r="W393"/>
      <c r="X393"/>
      <c r="Y393"/>
      <c r="Z393"/>
      <c r="AA393"/>
    </row>
    <row r="394" spans="1:27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 s="237"/>
      <c r="Q394" s="237"/>
      <c r="R394" s="237"/>
      <c r="S394" s="237"/>
      <c r="T394" s="237"/>
      <c r="U394" s="237"/>
      <c r="V394" s="237"/>
      <c r="W394"/>
      <c r="X394"/>
      <c r="Y394"/>
      <c r="Z394"/>
      <c r="AA394"/>
    </row>
    <row r="395" spans="1:27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 s="237"/>
      <c r="Q395" s="237"/>
      <c r="R395" s="237"/>
      <c r="S395" s="237"/>
      <c r="T395" s="237"/>
      <c r="U395" s="237"/>
      <c r="V395" s="237"/>
      <c r="W395"/>
      <c r="X395"/>
      <c r="Y395"/>
      <c r="Z395"/>
      <c r="AA395"/>
    </row>
    <row r="396" spans="1:27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 s="237"/>
      <c r="Q396" s="237"/>
      <c r="R396" s="237"/>
      <c r="S396" s="237"/>
      <c r="T396" s="237"/>
      <c r="U396" s="237"/>
      <c r="V396" s="237"/>
      <c r="W396"/>
      <c r="X396"/>
      <c r="Y396"/>
      <c r="Z396"/>
      <c r="AA396"/>
    </row>
    <row r="397" spans="1:27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 s="237"/>
      <c r="Q397" s="237"/>
      <c r="R397" s="237"/>
      <c r="S397" s="237"/>
      <c r="T397" s="237"/>
      <c r="U397" s="237"/>
      <c r="V397" s="237"/>
      <c r="W397"/>
      <c r="X397"/>
      <c r="Y397"/>
      <c r="Z397"/>
      <c r="AA397"/>
    </row>
    <row r="398" spans="1:27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 s="237"/>
      <c r="Q398" s="237"/>
      <c r="R398" s="237"/>
      <c r="S398" s="237"/>
      <c r="T398" s="237"/>
      <c r="U398" s="237"/>
      <c r="V398" s="237"/>
      <c r="W398"/>
      <c r="X398"/>
      <c r="Y398"/>
      <c r="Z398"/>
      <c r="AA398"/>
    </row>
    <row r="399" spans="1:27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 s="237"/>
      <c r="Q399" s="237"/>
      <c r="R399" s="237"/>
      <c r="S399" s="237"/>
      <c r="T399" s="237"/>
      <c r="U399" s="237"/>
      <c r="V399" s="237"/>
      <c r="W399"/>
      <c r="X399"/>
      <c r="Y399"/>
      <c r="Z399"/>
      <c r="AA399"/>
    </row>
    <row r="400" spans="1:27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 s="237"/>
      <c r="Q400" s="237"/>
      <c r="R400" s="237"/>
      <c r="S400" s="237"/>
      <c r="T400" s="237"/>
      <c r="U400" s="237"/>
      <c r="V400" s="237"/>
      <c r="W400"/>
      <c r="X400"/>
      <c r="Y400"/>
      <c r="Z400"/>
      <c r="AA400"/>
    </row>
    <row r="401" spans="1:27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 s="237"/>
      <c r="Q401" s="237"/>
      <c r="R401" s="237"/>
      <c r="S401" s="237"/>
      <c r="T401" s="237"/>
      <c r="U401" s="237"/>
      <c r="V401" s="237"/>
      <c r="W401"/>
      <c r="X401"/>
      <c r="Y401"/>
      <c r="Z401"/>
      <c r="AA401"/>
    </row>
    <row r="402" spans="1:27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 s="237"/>
      <c r="Q402" s="237"/>
      <c r="R402" s="237"/>
      <c r="S402" s="237"/>
      <c r="T402" s="237"/>
      <c r="U402" s="237"/>
      <c r="V402" s="237"/>
      <c r="W402"/>
      <c r="X402"/>
      <c r="Y402"/>
      <c r="Z402"/>
      <c r="AA402"/>
    </row>
    <row r="403" spans="1:27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 s="237"/>
      <c r="Q403" s="237"/>
      <c r="R403" s="237"/>
      <c r="S403" s="237"/>
      <c r="T403" s="237"/>
      <c r="U403" s="237"/>
      <c r="V403" s="237"/>
      <c r="W403"/>
      <c r="X403"/>
      <c r="Y403"/>
      <c r="Z403"/>
      <c r="AA403"/>
    </row>
    <row r="404" spans="1:27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 s="237"/>
      <c r="Q404" s="237"/>
      <c r="R404" s="237"/>
      <c r="S404" s="237"/>
      <c r="T404" s="237"/>
      <c r="U404" s="237"/>
      <c r="V404" s="237"/>
      <c r="W404"/>
      <c r="X404"/>
      <c r="Y404"/>
      <c r="Z404"/>
      <c r="AA404"/>
    </row>
    <row r="405" spans="1:27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 s="237"/>
      <c r="Q405" s="237"/>
      <c r="R405" s="237"/>
      <c r="S405" s="237"/>
      <c r="T405" s="237"/>
      <c r="U405" s="237"/>
      <c r="V405" s="237"/>
      <c r="W405"/>
      <c r="X405"/>
      <c r="Y405"/>
      <c r="Z405"/>
      <c r="AA405"/>
    </row>
    <row r="406" spans="1:27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 s="237"/>
      <c r="Q406" s="237"/>
      <c r="R406" s="237"/>
      <c r="S406" s="237"/>
      <c r="T406" s="237"/>
      <c r="U406" s="237"/>
      <c r="V406" s="237"/>
      <c r="W406"/>
      <c r="X406"/>
      <c r="Y406"/>
      <c r="Z406"/>
      <c r="AA406"/>
    </row>
    <row r="407" spans="1:27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 s="237"/>
      <c r="Q407" s="237"/>
      <c r="R407" s="237"/>
      <c r="S407" s="237"/>
      <c r="T407" s="237"/>
      <c r="U407" s="237"/>
      <c r="V407" s="237"/>
      <c r="W407"/>
      <c r="X407"/>
      <c r="Y407"/>
      <c r="Z407"/>
      <c r="AA407"/>
    </row>
    <row r="408" spans="1:27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 s="237"/>
      <c r="Q408" s="237"/>
      <c r="R408" s="237"/>
      <c r="S408" s="237"/>
      <c r="T408" s="237"/>
      <c r="U408" s="237"/>
      <c r="V408" s="237"/>
      <c r="W408"/>
      <c r="X408"/>
      <c r="Y408"/>
      <c r="Z408"/>
      <c r="AA408"/>
    </row>
    <row r="409" spans="1:27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 s="237"/>
      <c r="Q409" s="237"/>
      <c r="R409" s="237"/>
      <c r="S409" s="237"/>
      <c r="T409" s="237"/>
      <c r="U409" s="237"/>
      <c r="V409" s="237"/>
      <c r="W409"/>
      <c r="X409"/>
      <c r="Y409"/>
      <c r="Z409"/>
      <c r="AA409"/>
    </row>
    <row r="410" spans="1:27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 s="237"/>
      <c r="Q410" s="237"/>
      <c r="R410" s="237"/>
      <c r="S410" s="237"/>
      <c r="T410" s="237"/>
      <c r="U410" s="237"/>
      <c r="V410" s="237"/>
      <c r="W410"/>
      <c r="X410"/>
      <c r="Y410"/>
      <c r="Z410"/>
      <c r="AA410"/>
    </row>
    <row r="411" spans="1:27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 s="237"/>
      <c r="Q411" s="237"/>
      <c r="R411" s="237"/>
      <c r="S411" s="237"/>
      <c r="T411" s="237"/>
      <c r="U411" s="237"/>
      <c r="V411" s="237"/>
      <c r="W411"/>
      <c r="X411"/>
      <c r="Y411"/>
      <c r="Z411"/>
      <c r="AA411"/>
    </row>
    <row r="412" spans="1:27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 s="237"/>
      <c r="Q412" s="237"/>
      <c r="R412" s="237"/>
      <c r="S412" s="237"/>
      <c r="T412" s="237"/>
      <c r="U412" s="237"/>
      <c r="V412" s="237"/>
      <c r="W412"/>
      <c r="X412"/>
      <c r="Y412"/>
      <c r="Z412"/>
      <c r="AA412"/>
    </row>
    <row r="413" spans="1:27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 s="237"/>
      <c r="Q413" s="237"/>
      <c r="R413" s="237"/>
      <c r="S413" s="237"/>
      <c r="T413" s="237"/>
      <c r="U413" s="237"/>
      <c r="V413" s="237"/>
      <c r="W413"/>
      <c r="X413"/>
      <c r="Y413"/>
      <c r="Z413"/>
      <c r="AA413"/>
    </row>
    <row r="414" spans="1:27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 s="237"/>
      <c r="Q414" s="237"/>
      <c r="R414" s="237"/>
      <c r="S414" s="237"/>
      <c r="T414" s="237"/>
      <c r="U414" s="237"/>
      <c r="V414" s="237"/>
      <c r="W414"/>
      <c r="X414"/>
      <c r="Y414"/>
      <c r="Z414"/>
      <c r="AA414"/>
    </row>
    <row r="415" spans="1:27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 s="237"/>
      <c r="Q415" s="237"/>
      <c r="R415" s="237"/>
      <c r="S415" s="237"/>
      <c r="T415" s="237"/>
      <c r="U415" s="237"/>
      <c r="V415" s="237"/>
      <c r="W415"/>
      <c r="X415"/>
      <c r="Y415"/>
      <c r="Z415"/>
      <c r="AA415"/>
    </row>
    <row r="416" spans="1:27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 s="237"/>
      <c r="Q416" s="237"/>
      <c r="R416" s="237"/>
      <c r="S416" s="237"/>
      <c r="T416" s="237"/>
      <c r="U416" s="237"/>
      <c r="V416" s="237"/>
      <c r="W416"/>
      <c r="X416"/>
      <c r="Y416"/>
      <c r="Z416"/>
      <c r="AA416"/>
    </row>
    <row r="417" spans="1:27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 s="237"/>
      <c r="Q417" s="237"/>
      <c r="R417" s="237"/>
      <c r="S417" s="237"/>
      <c r="T417" s="237"/>
      <c r="U417" s="237"/>
      <c r="V417" s="237"/>
      <c r="W417"/>
      <c r="X417"/>
      <c r="Y417"/>
      <c r="Z417"/>
      <c r="AA417"/>
    </row>
    <row r="418" spans="1:27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 s="237"/>
      <c r="Q418" s="237"/>
      <c r="R418" s="237"/>
      <c r="S418" s="237"/>
      <c r="T418" s="237"/>
      <c r="U418" s="237"/>
      <c r="V418" s="237"/>
      <c r="W418"/>
      <c r="X418"/>
      <c r="Y418"/>
      <c r="Z418"/>
      <c r="AA418"/>
    </row>
    <row r="419" spans="1:27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 s="237"/>
      <c r="Q419" s="237"/>
      <c r="R419" s="237"/>
      <c r="S419" s="237"/>
      <c r="T419" s="237"/>
      <c r="U419" s="237"/>
      <c r="V419" s="237"/>
      <c r="W419"/>
      <c r="X419"/>
      <c r="Y419"/>
      <c r="Z419"/>
      <c r="AA419"/>
    </row>
    <row r="420" spans="1:27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 s="237"/>
      <c r="Q420" s="237"/>
      <c r="R420" s="237"/>
      <c r="S420" s="237"/>
      <c r="T420" s="237"/>
      <c r="U420" s="237"/>
      <c r="V420" s="237"/>
      <c r="W420"/>
      <c r="X420"/>
      <c r="Y420"/>
      <c r="Z420"/>
      <c r="AA420"/>
    </row>
    <row r="421" spans="1:27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 s="237"/>
      <c r="Q421" s="237"/>
      <c r="R421" s="237"/>
      <c r="S421" s="237"/>
      <c r="T421" s="237"/>
      <c r="U421" s="237"/>
      <c r="V421" s="237"/>
      <c r="W421"/>
      <c r="X421"/>
      <c r="Y421"/>
      <c r="Z421"/>
      <c r="AA421"/>
    </row>
    <row r="422" spans="1:27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 s="237"/>
      <c r="Q422" s="237"/>
      <c r="R422" s="237"/>
      <c r="S422" s="237"/>
      <c r="T422" s="237"/>
      <c r="U422" s="237"/>
      <c r="V422" s="237"/>
      <c r="W422"/>
      <c r="X422"/>
      <c r="Y422"/>
      <c r="Z422"/>
      <c r="AA422"/>
    </row>
    <row r="423" spans="1:27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 s="237"/>
      <c r="Q423" s="237"/>
      <c r="R423" s="237"/>
      <c r="S423" s="237"/>
      <c r="T423" s="237"/>
      <c r="U423" s="237"/>
      <c r="V423" s="237"/>
      <c r="W423"/>
      <c r="X423"/>
      <c r="Y423"/>
      <c r="Z423"/>
      <c r="AA423"/>
    </row>
    <row r="424" spans="1:27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 s="237"/>
      <c r="Q424" s="237"/>
      <c r="R424" s="237"/>
      <c r="S424" s="237"/>
      <c r="T424" s="237"/>
      <c r="U424" s="237"/>
      <c r="V424" s="237"/>
      <c r="W424"/>
      <c r="X424"/>
      <c r="Y424"/>
      <c r="Z424"/>
      <c r="AA424"/>
    </row>
    <row r="425" spans="1:27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 s="237"/>
      <c r="Q425" s="237"/>
      <c r="R425" s="237"/>
      <c r="S425" s="237"/>
      <c r="T425" s="237"/>
      <c r="U425" s="237"/>
      <c r="V425" s="237"/>
      <c r="W425"/>
      <c r="X425"/>
      <c r="Y425"/>
      <c r="Z425"/>
      <c r="AA425"/>
    </row>
    <row r="426" spans="1:27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 s="237"/>
      <c r="Q426" s="237"/>
      <c r="R426" s="237"/>
      <c r="S426" s="237"/>
      <c r="T426" s="237"/>
      <c r="U426" s="237"/>
      <c r="V426" s="237"/>
      <c r="W426"/>
      <c r="X426"/>
      <c r="Y426"/>
      <c r="Z426"/>
      <c r="AA426"/>
    </row>
    <row r="427" spans="1:27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 s="237"/>
      <c r="Q427" s="237"/>
      <c r="R427" s="237"/>
      <c r="S427" s="237"/>
      <c r="T427" s="237"/>
      <c r="U427" s="237"/>
      <c r="V427" s="237"/>
      <c r="W427"/>
      <c r="X427"/>
      <c r="Y427"/>
      <c r="Z427"/>
      <c r="AA427"/>
    </row>
    <row r="428" spans="1:27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 s="237"/>
      <c r="Q428" s="237"/>
      <c r="R428" s="237"/>
      <c r="S428" s="237"/>
      <c r="T428" s="237"/>
      <c r="U428" s="237"/>
      <c r="V428" s="237"/>
      <c r="W428"/>
      <c r="X428"/>
      <c r="Y428"/>
      <c r="Z428"/>
      <c r="AA428"/>
    </row>
    <row r="429" spans="1:27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 s="237"/>
      <c r="Q429" s="237"/>
      <c r="R429" s="237"/>
      <c r="S429" s="237"/>
      <c r="T429" s="237"/>
      <c r="U429" s="237"/>
      <c r="V429" s="237"/>
      <c r="W429"/>
      <c r="X429"/>
      <c r="Y429"/>
      <c r="Z429"/>
      <c r="AA429"/>
    </row>
    <row r="430" spans="1:27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 s="237"/>
      <c r="Q430" s="237"/>
      <c r="R430" s="237"/>
      <c r="S430" s="237"/>
      <c r="T430" s="237"/>
      <c r="U430" s="237"/>
      <c r="V430" s="237"/>
      <c r="W430"/>
      <c r="X430"/>
      <c r="Y430"/>
      <c r="Z430"/>
      <c r="AA430"/>
    </row>
    <row r="431" spans="1:27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 s="237"/>
      <c r="Q431" s="237"/>
      <c r="R431" s="237"/>
      <c r="S431" s="237"/>
      <c r="T431" s="237"/>
      <c r="U431" s="237"/>
      <c r="V431" s="237"/>
      <c r="W431"/>
      <c r="X431"/>
      <c r="Y431"/>
      <c r="Z431"/>
      <c r="AA431"/>
    </row>
    <row r="432" spans="1:27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 s="237"/>
      <c r="Q432" s="237"/>
      <c r="R432" s="237"/>
      <c r="S432" s="237"/>
      <c r="T432" s="237"/>
      <c r="U432" s="237"/>
      <c r="V432" s="237"/>
      <c r="W432"/>
      <c r="X432"/>
      <c r="Y432"/>
      <c r="Z432"/>
      <c r="AA432"/>
    </row>
    <row r="433" spans="1:27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 s="237"/>
      <c r="Q433" s="237"/>
      <c r="R433" s="237"/>
      <c r="S433" s="237"/>
      <c r="T433" s="237"/>
      <c r="U433" s="237"/>
      <c r="V433" s="237"/>
      <c r="W433"/>
      <c r="X433"/>
      <c r="Y433"/>
      <c r="Z433"/>
      <c r="AA433"/>
    </row>
    <row r="434" spans="1:27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 s="237"/>
      <c r="Q434" s="237"/>
      <c r="R434" s="237"/>
      <c r="S434" s="237"/>
      <c r="T434" s="237"/>
      <c r="U434" s="237"/>
      <c r="V434" s="237"/>
      <c r="W434"/>
      <c r="X434"/>
      <c r="Y434"/>
      <c r="Z434"/>
      <c r="AA434"/>
    </row>
    <row r="435" spans="1:27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 s="237"/>
      <c r="Q435" s="237"/>
      <c r="R435" s="237"/>
      <c r="S435" s="237"/>
      <c r="T435" s="237"/>
      <c r="U435" s="237"/>
      <c r="V435" s="237"/>
      <c r="W435"/>
      <c r="X435"/>
      <c r="Y435"/>
      <c r="Z435"/>
      <c r="AA435"/>
    </row>
    <row r="436" spans="1:27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 s="237"/>
      <c r="Q436" s="237"/>
      <c r="R436" s="237"/>
      <c r="S436" s="237"/>
      <c r="T436" s="237"/>
      <c r="U436" s="237"/>
      <c r="V436" s="237"/>
      <c r="W436"/>
      <c r="X436"/>
      <c r="Y436"/>
      <c r="Z436"/>
      <c r="AA436"/>
    </row>
    <row r="437" spans="1:27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 s="237"/>
      <c r="Q437" s="237"/>
      <c r="R437" s="237"/>
      <c r="S437" s="237"/>
      <c r="T437" s="237"/>
      <c r="U437" s="237"/>
      <c r="V437" s="237"/>
      <c r="W437"/>
      <c r="X437"/>
      <c r="Y437"/>
      <c r="Z437"/>
      <c r="AA437"/>
    </row>
    <row r="438" spans="1:27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 s="237"/>
      <c r="Q438" s="237"/>
      <c r="R438" s="237"/>
      <c r="S438" s="237"/>
      <c r="T438" s="237"/>
      <c r="U438" s="237"/>
      <c r="V438" s="237"/>
      <c r="W438"/>
      <c r="X438"/>
      <c r="Y438"/>
      <c r="Z438"/>
      <c r="AA438"/>
    </row>
    <row r="439" spans="1:27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 s="237"/>
      <c r="Q439" s="237"/>
      <c r="R439" s="237"/>
      <c r="S439" s="237"/>
      <c r="T439" s="237"/>
      <c r="U439" s="237"/>
      <c r="V439" s="237"/>
      <c r="W439"/>
      <c r="X439"/>
      <c r="Y439"/>
      <c r="Z439"/>
      <c r="AA439"/>
    </row>
    <row r="440" spans="1:27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 s="237"/>
      <c r="Q440" s="237"/>
      <c r="R440" s="237"/>
      <c r="S440" s="237"/>
      <c r="T440" s="237"/>
      <c r="U440" s="237"/>
      <c r="V440" s="237"/>
      <c r="W440"/>
      <c r="X440"/>
      <c r="Y440"/>
      <c r="Z440"/>
      <c r="AA440"/>
    </row>
    <row r="441" spans="1:27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 s="237"/>
      <c r="Q441" s="237"/>
      <c r="R441" s="237"/>
      <c r="S441" s="237"/>
      <c r="T441" s="237"/>
      <c r="U441" s="237"/>
      <c r="V441" s="237"/>
      <c r="W441"/>
      <c r="X441"/>
      <c r="Y441"/>
      <c r="Z441"/>
      <c r="AA441"/>
    </row>
    <row r="442" spans="1:27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 s="237"/>
      <c r="Q442" s="237"/>
      <c r="R442" s="237"/>
      <c r="S442" s="237"/>
      <c r="T442" s="237"/>
      <c r="U442" s="237"/>
      <c r="V442" s="237"/>
      <c r="W442"/>
      <c r="X442"/>
      <c r="Y442"/>
      <c r="Z442"/>
      <c r="AA442"/>
    </row>
    <row r="443" spans="1:27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 s="237"/>
      <c r="Q443" s="237"/>
      <c r="R443" s="237"/>
      <c r="S443" s="237"/>
      <c r="T443" s="237"/>
      <c r="U443" s="237"/>
      <c r="V443" s="237"/>
      <c r="W443"/>
      <c r="X443"/>
      <c r="Y443"/>
      <c r="Z443"/>
      <c r="AA443"/>
    </row>
    <row r="444" spans="1:27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 s="237"/>
      <c r="Q444" s="237"/>
      <c r="R444" s="237"/>
      <c r="S444" s="237"/>
      <c r="T444" s="237"/>
      <c r="U444" s="237"/>
      <c r="V444" s="237"/>
      <c r="W444"/>
      <c r="X444"/>
      <c r="Y444"/>
      <c r="Z444"/>
      <c r="AA444"/>
    </row>
    <row r="445" spans="1:27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 s="237"/>
      <c r="Q445" s="237"/>
      <c r="R445" s="237"/>
      <c r="S445" s="237"/>
      <c r="T445" s="237"/>
      <c r="U445" s="237"/>
      <c r="V445" s="237"/>
      <c r="W445"/>
      <c r="X445"/>
      <c r="Y445"/>
      <c r="Z445"/>
      <c r="AA445"/>
    </row>
    <row r="446" spans="1:27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 s="237"/>
      <c r="Q446" s="237"/>
      <c r="R446" s="237"/>
      <c r="S446" s="237"/>
      <c r="T446" s="237"/>
      <c r="U446" s="237"/>
      <c r="V446" s="237"/>
      <c r="W446"/>
      <c r="X446"/>
      <c r="Y446"/>
      <c r="Z446"/>
      <c r="AA446"/>
    </row>
    <row r="447" spans="1:27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 s="237"/>
      <c r="Q447" s="237"/>
      <c r="R447" s="237"/>
      <c r="S447" s="237"/>
      <c r="T447" s="237"/>
      <c r="U447" s="237"/>
      <c r="V447" s="237"/>
      <c r="W447"/>
      <c r="X447"/>
      <c r="Y447"/>
      <c r="Z447"/>
      <c r="AA447"/>
    </row>
    <row r="448" spans="1:27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 s="237"/>
      <c r="Q448" s="237"/>
      <c r="R448" s="237"/>
      <c r="S448" s="237"/>
      <c r="T448" s="237"/>
      <c r="U448" s="237"/>
      <c r="V448" s="237"/>
      <c r="W448"/>
      <c r="X448"/>
      <c r="Y448"/>
      <c r="Z448"/>
      <c r="AA448"/>
    </row>
    <row r="449" spans="1:27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 s="237"/>
      <c r="Q449" s="237"/>
      <c r="R449" s="237"/>
      <c r="S449" s="237"/>
      <c r="T449" s="237"/>
      <c r="U449" s="237"/>
      <c r="V449" s="237"/>
      <c r="W449"/>
      <c r="X449"/>
      <c r="Y449"/>
      <c r="Z449"/>
      <c r="AA449"/>
    </row>
    <row r="450" spans="1:27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 s="237"/>
      <c r="Q450" s="237"/>
      <c r="R450" s="237"/>
      <c r="S450" s="237"/>
      <c r="T450" s="237"/>
      <c r="U450" s="237"/>
      <c r="V450" s="237"/>
      <c r="W450"/>
      <c r="X450"/>
      <c r="Y450"/>
      <c r="Z450"/>
      <c r="AA450"/>
    </row>
    <row r="451" spans="1:27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 s="237"/>
      <c r="Q451" s="237"/>
      <c r="R451" s="237"/>
      <c r="S451" s="237"/>
      <c r="T451" s="237"/>
      <c r="U451" s="237"/>
      <c r="V451" s="237"/>
      <c r="W451"/>
      <c r="X451"/>
      <c r="Y451"/>
      <c r="Z451"/>
      <c r="AA451"/>
    </row>
    <row r="452" spans="1:27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 s="237"/>
      <c r="Q452" s="237"/>
      <c r="R452" s="237"/>
      <c r="S452" s="237"/>
      <c r="T452" s="237"/>
      <c r="U452" s="237"/>
      <c r="V452" s="237"/>
      <c r="W452"/>
      <c r="X452"/>
      <c r="Y452"/>
      <c r="Z452"/>
      <c r="AA452"/>
    </row>
    <row r="453" spans="1:27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 s="237"/>
      <c r="Q453" s="237"/>
      <c r="R453" s="237"/>
      <c r="S453" s="237"/>
      <c r="T453" s="237"/>
      <c r="U453" s="237"/>
      <c r="V453" s="237"/>
      <c r="W453"/>
      <c r="X453"/>
      <c r="Y453"/>
      <c r="Z453"/>
      <c r="AA453"/>
    </row>
    <row r="454" spans="1:27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 s="237"/>
      <c r="Q454" s="237"/>
      <c r="R454" s="237"/>
      <c r="S454" s="237"/>
      <c r="T454" s="237"/>
      <c r="U454" s="237"/>
      <c r="V454" s="237"/>
      <c r="W454"/>
      <c r="X454"/>
      <c r="Y454"/>
      <c r="Z454"/>
      <c r="AA454"/>
    </row>
    <row r="455" spans="1:27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 s="237"/>
      <c r="Q455" s="237"/>
      <c r="R455" s="237"/>
      <c r="S455" s="237"/>
      <c r="T455" s="237"/>
      <c r="U455" s="237"/>
      <c r="V455" s="237"/>
      <c r="W455"/>
      <c r="X455"/>
      <c r="Y455"/>
      <c r="Z455"/>
      <c r="AA455"/>
    </row>
    <row r="456" spans="1:27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 s="237"/>
      <c r="Q456" s="237"/>
      <c r="R456" s="237"/>
      <c r="S456" s="237"/>
      <c r="T456" s="237"/>
      <c r="U456" s="237"/>
      <c r="V456" s="237"/>
      <c r="W456"/>
      <c r="X456"/>
      <c r="Y456"/>
      <c r="Z456"/>
      <c r="AA456"/>
    </row>
    <row r="457" spans="1:27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 s="237"/>
      <c r="Q457" s="237"/>
      <c r="R457" s="237"/>
      <c r="S457" s="237"/>
      <c r="T457" s="237"/>
      <c r="U457" s="237"/>
      <c r="V457" s="237"/>
      <c r="W457"/>
      <c r="X457"/>
      <c r="Y457"/>
      <c r="Z457"/>
      <c r="AA457"/>
    </row>
    <row r="458" spans="1:27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 s="237"/>
      <c r="Q458" s="237"/>
      <c r="R458" s="237"/>
      <c r="S458" s="237"/>
      <c r="T458" s="237"/>
      <c r="U458" s="237"/>
      <c r="V458" s="237"/>
      <c r="W458"/>
      <c r="X458"/>
      <c r="Y458"/>
      <c r="Z458"/>
      <c r="AA458"/>
    </row>
    <row r="459" spans="1:27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 s="237"/>
      <c r="Q459" s="237"/>
      <c r="R459" s="237"/>
      <c r="S459" s="237"/>
      <c r="T459" s="237"/>
      <c r="U459" s="237"/>
      <c r="V459" s="237"/>
      <c r="W459"/>
      <c r="X459"/>
      <c r="Y459"/>
      <c r="Z459"/>
      <c r="AA459"/>
    </row>
    <row r="460" spans="1:27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 s="237"/>
      <c r="Q460" s="237"/>
      <c r="R460" s="237"/>
      <c r="S460" s="237"/>
      <c r="T460" s="237"/>
      <c r="U460" s="237"/>
      <c r="V460" s="237"/>
      <c r="W460"/>
      <c r="X460"/>
      <c r="Y460"/>
      <c r="Z460"/>
      <c r="AA460"/>
    </row>
    <row r="461" spans="1:27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 s="237"/>
      <c r="Q461" s="237"/>
      <c r="R461" s="237"/>
      <c r="S461" s="237"/>
      <c r="T461" s="237"/>
      <c r="U461" s="237"/>
      <c r="V461" s="237"/>
      <c r="W461"/>
      <c r="X461"/>
      <c r="Y461"/>
      <c r="Z461"/>
      <c r="AA461"/>
    </row>
    <row r="462" spans="1:27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 s="237"/>
      <c r="Q462" s="237"/>
      <c r="R462" s="237"/>
      <c r="S462" s="237"/>
      <c r="T462" s="237"/>
      <c r="U462" s="237"/>
      <c r="V462" s="237"/>
      <c r="W462"/>
      <c r="X462"/>
      <c r="Y462"/>
      <c r="Z462"/>
      <c r="AA462"/>
    </row>
    <row r="463" spans="1:27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 s="237"/>
      <c r="Q463" s="237"/>
      <c r="R463" s="237"/>
      <c r="S463" s="237"/>
      <c r="T463" s="237"/>
      <c r="U463" s="237"/>
      <c r="V463" s="237"/>
      <c r="W463"/>
      <c r="X463"/>
      <c r="Y463"/>
      <c r="Z463"/>
      <c r="AA463"/>
    </row>
    <row r="464" spans="1:27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 s="237"/>
      <c r="Q464" s="237"/>
      <c r="R464" s="237"/>
      <c r="S464" s="237"/>
      <c r="T464" s="237"/>
      <c r="U464" s="237"/>
      <c r="V464" s="237"/>
      <c r="W464"/>
      <c r="X464"/>
      <c r="Y464"/>
      <c r="Z464"/>
      <c r="AA464"/>
    </row>
    <row r="465" spans="1:27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 s="237"/>
      <c r="Q465" s="237"/>
      <c r="R465" s="237"/>
      <c r="S465" s="237"/>
      <c r="T465" s="237"/>
      <c r="U465" s="237"/>
      <c r="V465" s="237"/>
      <c r="W465"/>
      <c r="X465"/>
      <c r="Y465"/>
      <c r="Z465"/>
      <c r="AA465"/>
    </row>
    <row r="466" spans="1:27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 s="237"/>
      <c r="Q466" s="237"/>
      <c r="R466" s="237"/>
      <c r="S466" s="237"/>
      <c r="T466" s="237"/>
      <c r="U466" s="237"/>
      <c r="V466" s="237"/>
      <c r="W466"/>
      <c r="X466"/>
      <c r="Y466"/>
      <c r="Z466"/>
      <c r="AA466"/>
    </row>
    <row r="467" spans="1:27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 s="237"/>
      <c r="Q467" s="237"/>
      <c r="R467" s="237"/>
      <c r="S467" s="237"/>
      <c r="T467" s="237"/>
      <c r="U467" s="237"/>
      <c r="V467" s="237"/>
      <c r="W467"/>
      <c r="X467"/>
      <c r="Y467"/>
      <c r="Z467"/>
      <c r="AA467"/>
    </row>
    <row r="468" spans="1:27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 s="237"/>
      <c r="Q468" s="237"/>
      <c r="R468" s="237"/>
      <c r="S468" s="237"/>
      <c r="T468" s="237"/>
      <c r="U468" s="237"/>
      <c r="V468" s="237"/>
      <c r="W468"/>
      <c r="X468"/>
      <c r="Y468"/>
      <c r="Z468"/>
      <c r="AA468"/>
    </row>
    <row r="469" spans="1:27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 s="237"/>
      <c r="Q469" s="237"/>
      <c r="R469" s="237"/>
      <c r="S469" s="237"/>
      <c r="T469" s="237"/>
      <c r="U469" s="237"/>
      <c r="V469" s="237"/>
      <c r="W469"/>
      <c r="X469"/>
      <c r="Y469"/>
      <c r="Z469"/>
      <c r="AA469"/>
    </row>
    <row r="470" spans="1:27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 s="237"/>
      <c r="Q470" s="237"/>
      <c r="R470" s="237"/>
      <c r="S470" s="237"/>
      <c r="T470" s="237"/>
      <c r="U470" s="237"/>
      <c r="V470" s="237"/>
      <c r="W470"/>
      <c r="X470"/>
      <c r="Y470"/>
      <c r="Z470"/>
      <c r="AA470"/>
    </row>
    <row r="471" spans="1:27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 s="237"/>
      <c r="Q471" s="237"/>
      <c r="R471" s="237"/>
      <c r="S471" s="237"/>
      <c r="T471" s="237"/>
      <c r="U471" s="237"/>
      <c r="V471" s="237"/>
      <c r="W471"/>
      <c r="X471"/>
      <c r="Y471"/>
      <c r="Z471"/>
      <c r="AA471"/>
    </row>
    <row r="472" spans="1:27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 s="237"/>
      <c r="Q472" s="237"/>
      <c r="R472" s="237"/>
      <c r="S472" s="237"/>
      <c r="T472" s="237"/>
      <c r="U472" s="237"/>
      <c r="V472" s="237"/>
      <c r="W472"/>
      <c r="X472"/>
      <c r="Y472"/>
      <c r="Z472"/>
      <c r="AA472"/>
    </row>
    <row r="473" spans="1:27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 s="237"/>
      <c r="Q473" s="237"/>
      <c r="R473" s="237"/>
      <c r="S473" s="237"/>
      <c r="T473" s="237"/>
      <c r="U473" s="237"/>
      <c r="V473" s="237"/>
      <c r="W473"/>
      <c r="X473"/>
      <c r="Y473"/>
      <c r="Z473"/>
      <c r="AA473"/>
    </row>
    <row r="474" spans="1:27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 s="237"/>
      <c r="Q474" s="237"/>
      <c r="R474" s="237"/>
      <c r="S474" s="237"/>
      <c r="T474" s="237"/>
      <c r="U474" s="237"/>
      <c r="V474" s="237"/>
      <c r="W474"/>
      <c r="X474"/>
      <c r="Y474"/>
      <c r="Z474"/>
      <c r="AA474"/>
    </row>
    <row r="475" spans="1:27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 s="237"/>
      <c r="Q475" s="237"/>
      <c r="R475" s="237"/>
      <c r="S475" s="237"/>
      <c r="T475" s="237"/>
      <c r="U475" s="237"/>
      <c r="V475" s="237"/>
      <c r="W475"/>
      <c r="X475"/>
      <c r="Y475"/>
      <c r="Z475"/>
      <c r="AA475"/>
    </row>
    <row r="476" spans="1:27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 s="237"/>
      <c r="Q476" s="237"/>
      <c r="R476" s="237"/>
      <c r="S476" s="237"/>
      <c r="T476" s="237"/>
      <c r="U476" s="237"/>
      <c r="V476" s="237"/>
      <c r="W476"/>
      <c r="X476"/>
      <c r="Y476"/>
      <c r="Z476"/>
      <c r="AA476"/>
    </row>
    <row r="477" spans="1:27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 s="237"/>
      <c r="Q477" s="237"/>
      <c r="R477" s="237"/>
      <c r="S477" s="237"/>
      <c r="T477" s="237"/>
      <c r="U477" s="237"/>
      <c r="V477" s="237"/>
      <c r="W477"/>
      <c r="X477"/>
      <c r="Y477"/>
      <c r="Z477"/>
      <c r="AA477"/>
    </row>
    <row r="478" spans="1:27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 s="237"/>
      <c r="Q478" s="237"/>
      <c r="R478" s="237"/>
      <c r="S478" s="237"/>
      <c r="T478" s="237"/>
      <c r="U478" s="237"/>
      <c r="V478" s="237"/>
      <c r="W478"/>
      <c r="X478"/>
      <c r="Y478"/>
      <c r="Z478"/>
      <c r="AA478"/>
    </row>
    <row r="479" spans="1:27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 s="237"/>
      <c r="Q479" s="237"/>
      <c r="R479" s="237"/>
      <c r="S479" s="237"/>
      <c r="T479" s="237"/>
      <c r="U479" s="237"/>
      <c r="V479" s="237"/>
      <c r="W479"/>
      <c r="X479"/>
      <c r="Y479"/>
      <c r="Z479"/>
      <c r="AA479"/>
    </row>
    <row r="480" spans="1:27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 s="237"/>
      <c r="Q480" s="237"/>
      <c r="R480" s="237"/>
      <c r="S480" s="237"/>
      <c r="T480" s="237"/>
      <c r="U480" s="237"/>
      <c r="V480" s="237"/>
      <c r="W480"/>
      <c r="X480"/>
      <c r="Y480"/>
      <c r="Z480"/>
      <c r="AA480"/>
    </row>
    <row r="481" spans="1:27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 s="237"/>
      <c r="Q481" s="237"/>
      <c r="R481" s="237"/>
      <c r="S481" s="237"/>
      <c r="T481" s="237"/>
      <c r="U481" s="237"/>
      <c r="V481" s="237"/>
      <c r="W481"/>
      <c r="X481"/>
      <c r="Y481"/>
      <c r="Z481"/>
      <c r="AA481"/>
    </row>
    <row r="482" spans="1:27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 s="237"/>
      <c r="Q482" s="237"/>
      <c r="R482" s="237"/>
      <c r="S482" s="237"/>
      <c r="T482" s="237"/>
      <c r="U482" s="237"/>
      <c r="V482" s="237"/>
      <c r="W482"/>
      <c r="X482"/>
      <c r="Y482"/>
      <c r="Z482"/>
      <c r="AA482"/>
    </row>
    <row r="483" spans="1:27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 s="237"/>
      <c r="Q483" s="237"/>
      <c r="R483" s="237"/>
      <c r="S483" s="237"/>
      <c r="T483" s="237"/>
      <c r="U483" s="237"/>
      <c r="V483" s="237"/>
      <c r="W483"/>
      <c r="X483"/>
      <c r="Y483"/>
      <c r="Z483"/>
      <c r="AA483"/>
    </row>
    <row r="484" spans="1:27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 s="237"/>
      <c r="Q484" s="237"/>
      <c r="R484" s="237"/>
      <c r="S484" s="237"/>
      <c r="T484" s="237"/>
      <c r="U484" s="237"/>
      <c r="V484" s="237"/>
      <c r="W484"/>
      <c r="X484"/>
      <c r="Y484"/>
      <c r="Z484"/>
      <c r="AA484"/>
    </row>
    <row r="485" spans="1:27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 s="237"/>
      <c r="Q485" s="237"/>
      <c r="R485" s="237"/>
      <c r="S485" s="237"/>
      <c r="T485" s="237"/>
      <c r="U485" s="237"/>
      <c r="V485" s="237"/>
      <c r="W485"/>
      <c r="X485"/>
      <c r="Y485"/>
      <c r="Z485"/>
      <c r="AA485"/>
    </row>
    <row r="486" spans="1:27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 s="237"/>
      <c r="Q486" s="237"/>
      <c r="R486" s="237"/>
      <c r="S486" s="237"/>
      <c r="T486" s="237"/>
      <c r="U486" s="237"/>
      <c r="V486" s="237"/>
      <c r="W486"/>
      <c r="X486"/>
      <c r="Y486"/>
      <c r="Z486"/>
      <c r="AA486"/>
    </row>
    <row r="487" spans="1:27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 s="237"/>
      <c r="Q487" s="237"/>
      <c r="R487" s="237"/>
      <c r="S487" s="237"/>
      <c r="T487" s="237"/>
      <c r="U487" s="237"/>
      <c r="V487" s="237"/>
      <c r="W487"/>
      <c r="X487"/>
      <c r="Y487"/>
      <c r="Z487"/>
      <c r="AA487"/>
    </row>
    <row r="488" spans="1:27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 s="237"/>
      <c r="Q488" s="237"/>
      <c r="R488" s="237"/>
      <c r="S488" s="237"/>
      <c r="T488" s="237"/>
      <c r="U488" s="237"/>
      <c r="V488" s="237"/>
      <c r="W488"/>
      <c r="X488"/>
      <c r="Y488"/>
      <c r="Z488"/>
      <c r="AA488"/>
    </row>
    <row r="489" spans="1:27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 s="237"/>
      <c r="Q489" s="237"/>
      <c r="R489" s="237"/>
      <c r="S489" s="237"/>
      <c r="T489" s="237"/>
      <c r="U489" s="237"/>
      <c r="V489" s="237"/>
      <c r="W489"/>
      <c r="X489"/>
      <c r="Y489"/>
      <c r="Z489"/>
      <c r="AA489"/>
    </row>
    <row r="490" spans="1:27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 s="237"/>
      <c r="Q490" s="237"/>
      <c r="R490" s="237"/>
      <c r="S490" s="237"/>
      <c r="T490" s="237"/>
      <c r="U490" s="237"/>
      <c r="V490" s="237"/>
      <c r="W490"/>
      <c r="X490"/>
      <c r="Y490"/>
      <c r="Z490"/>
      <c r="AA490"/>
    </row>
    <row r="491" spans="1:27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 s="237"/>
      <c r="Q491" s="237"/>
      <c r="R491" s="237"/>
      <c r="S491" s="237"/>
      <c r="T491" s="237"/>
      <c r="U491" s="237"/>
      <c r="V491" s="237"/>
      <c r="W491"/>
      <c r="X491"/>
      <c r="Y491"/>
      <c r="Z491"/>
      <c r="AA491"/>
    </row>
    <row r="492" spans="1:27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 s="237"/>
      <c r="Q492" s="237"/>
      <c r="R492" s="237"/>
      <c r="S492" s="237"/>
      <c r="T492" s="237"/>
      <c r="U492" s="237"/>
      <c r="V492" s="237"/>
      <c r="W492"/>
      <c r="X492"/>
      <c r="Y492"/>
      <c r="Z492"/>
      <c r="AA492"/>
    </row>
    <row r="493" spans="1:27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 s="237"/>
      <c r="Q493" s="237"/>
      <c r="R493" s="237"/>
      <c r="S493" s="237"/>
      <c r="T493" s="237"/>
      <c r="U493" s="237"/>
      <c r="V493" s="237"/>
      <c r="W493"/>
      <c r="X493"/>
      <c r="Y493"/>
      <c r="Z493"/>
      <c r="AA493"/>
    </row>
    <row r="494" spans="1:27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 s="237"/>
      <c r="Q494" s="237"/>
      <c r="R494" s="237"/>
      <c r="S494" s="237"/>
      <c r="T494" s="237"/>
      <c r="U494" s="237"/>
      <c r="V494" s="237"/>
      <c r="W494"/>
      <c r="X494"/>
      <c r="Y494"/>
      <c r="Z494"/>
      <c r="AA494"/>
    </row>
    <row r="495" spans="1:27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 s="237"/>
      <c r="Q495" s="237"/>
      <c r="R495" s="237"/>
      <c r="S495" s="237"/>
      <c r="T495" s="237"/>
      <c r="U495" s="237"/>
      <c r="V495" s="237"/>
      <c r="W495"/>
      <c r="X495"/>
      <c r="Y495"/>
      <c r="Z495"/>
      <c r="AA495"/>
    </row>
    <row r="496" spans="1:27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 s="237"/>
      <c r="Q496" s="237"/>
      <c r="R496" s="237"/>
      <c r="S496" s="237"/>
      <c r="T496" s="237"/>
      <c r="U496" s="237"/>
      <c r="V496" s="237"/>
      <c r="W496"/>
      <c r="X496"/>
      <c r="Y496"/>
      <c r="Z496"/>
      <c r="AA496"/>
    </row>
    <row r="497" spans="1:27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 s="237"/>
      <c r="Q497" s="237"/>
      <c r="R497" s="237"/>
      <c r="S497" s="237"/>
      <c r="T497" s="237"/>
      <c r="U497" s="237"/>
      <c r="V497" s="237"/>
      <c r="W497"/>
      <c r="X497"/>
      <c r="Y497"/>
      <c r="Z497"/>
      <c r="AA497"/>
    </row>
    <row r="498" spans="1:27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 s="237"/>
      <c r="Q498" s="237"/>
      <c r="R498" s="237"/>
      <c r="S498" s="237"/>
      <c r="T498" s="237"/>
      <c r="U498" s="237"/>
      <c r="V498" s="237"/>
      <c r="W498"/>
      <c r="X498"/>
      <c r="Y498"/>
      <c r="Z498"/>
      <c r="AA498"/>
    </row>
    <row r="499" spans="1:27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 s="237"/>
      <c r="Q499" s="237"/>
      <c r="R499" s="237"/>
      <c r="S499" s="237"/>
      <c r="T499" s="237"/>
      <c r="U499" s="237"/>
      <c r="V499" s="237"/>
      <c r="W499"/>
      <c r="X499"/>
      <c r="Y499"/>
      <c r="Z499"/>
      <c r="AA499"/>
    </row>
    <row r="500" spans="1:27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 s="237"/>
      <c r="Q500" s="237"/>
      <c r="R500" s="237"/>
      <c r="S500" s="237"/>
      <c r="T500" s="237"/>
      <c r="U500" s="237"/>
      <c r="V500" s="237"/>
      <c r="W500"/>
      <c r="X500"/>
      <c r="Y500"/>
      <c r="Z500"/>
      <c r="AA500"/>
    </row>
    <row r="501" spans="1:27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 s="237"/>
      <c r="Q501" s="237"/>
      <c r="R501" s="237"/>
      <c r="S501" s="237"/>
      <c r="T501" s="237"/>
      <c r="U501" s="237"/>
      <c r="V501" s="237"/>
      <c r="W501"/>
      <c r="X501"/>
      <c r="Y501"/>
      <c r="Z501"/>
      <c r="AA501"/>
    </row>
    <row r="502" spans="1:27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 s="237"/>
      <c r="Q502" s="237"/>
      <c r="R502" s="237"/>
      <c r="S502" s="237"/>
      <c r="T502" s="237"/>
      <c r="U502" s="237"/>
      <c r="V502" s="237"/>
      <c r="W502"/>
      <c r="X502"/>
      <c r="Y502"/>
      <c r="Z502"/>
      <c r="AA502"/>
    </row>
    <row r="503" spans="1:27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 s="237"/>
      <c r="Q503" s="237"/>
      <c r="R503" s="237"/>
      <c r="S503" s="237"/>
      <c r="T503" s="237"/>
      <c r="U503" s="237"/>
      <c r="V503" s="237"/>
      <c r="W503"/>
      <c r="X503"/>
      <c r="Y503"/>
      <c r="Z503"/>
      <c r="AA503"/>
    </row>
    <row r="504" spans="1:27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 s="237"/>
      <c r="Q504" s="237"/>
      <c r="R504" s="237"/>
      <c r="S504" s="237"/>
      <c r="T504" s="237"/>
      <c r="U504" s="237"/>
      <c r="V504" s="237"/>
      <c r="W504"/>
      <c r="X504"/>
      <c r="Y504"/>
      <c r="Z504"/>
      <c r="AA504"/>
    </row>
    <row r="505" spans="1:27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 s="237"/>
      <c r="Q505" s="237"/>
      <c r="R505" s="237"/>
      <c r="S505" s="237"/>
      <c r="T505" s="237"/>
      <c r="U505" s="237"/>
      <c r="V505" s="237"/>
      <c r="W505"/>
      <c r="X505"/>
      <c r="Y505"/>
      <c r="Z505"/>
      <c r="AA505"/>
    </row>
    <row r="506" spans="1:27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 s="237"/>
      <c r="Q506" s="237"/>
      <c r="R506" s="237"/>
      <c r="S506" s="237"/>
      <c r="T506" s="237"/>
      <c r="U506" s="237"/>
      <c r="V506" s="237"/>
      <c r="W506"/>
      <c r="X506"/>
      <c r="Y506"/>
      <c r="Z506"/>
      <c r="AA506"/>
    </row>
    <row r="507" spans="1:27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 s="237"/>
      <c r="Q507" s="237"/>
      <c r="R507" s="237"/>
      <c r="S507" s="237"/>
      <c r="T507" s="237"/>
      <c r="U507" s="237"/>
      <c r="V507" s="237"/>
      <c r="W507"/>
      <c r="X507"/>
      <c r="Y507"/>
      <c r="Z507"/>
      <c r="AA507"/>
    </row>
    <row r="508" spans="1:27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 s="237"/>
      <c r="Q508" s="237"/>
      <c r="R508" s="237"/>
      <c r="S508" s="237"/>
      <c r="T508" s="237"/>
      <c r="U508" s="237"/>
      <c r="V508" s="237"/>
      <c r="W508"/>
      <c r="X508"/>
      <c r="Y508"/>
      <c r="Z508"/>
      <c r="AA508"/>
    </row>
    <row r="509" spans="1:27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 s="237"/>
      <c r="Q509" s="237"/>
      <c r="R509" s="237"/>
      <c r="S509" s="237"/>
      <c r="T509" s="237"/>
      <c r="U509" s="237"/>
      <c r="V509" s="237"/>
      <c r="W509"/>
      <c r="X509"/>
      <c r="Y509"/>
      <c r="Z509"/>
      <c r="AA509"/>
    </row>
    <row r="510" spans="1:27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 s="237"/>
      <c r="Q510" s="237"/>
      <c r="R510" s="237"/>
      <c r="S510" s="237"/>
      <c r="T510" s="237"/>
      <c r="U510" s="237"/>
      <c r="V510" s="237"/>
      <c r="W510"/>
      <c r="X510"/>
      <c r="Y510"/>
      <c r="Z510"/>
      <c r="AA510"/>
    </row>
    <row r="511" spans="1:27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 s="237"/>
      <c r="Q511" s="237"/>
      <c r="R511" s="237"/>
      <c r="S511" s="237"/>
      <c r="T511" s="237"/>
      <c r="U511" s="237"/>
      <c r="V511" s="237"/>
      <c r="W511"/>
      <c r="X511"/>
      <c r="Y511"/>
      <c r="Z511"/>
      <c r="AA511"/>
    </row>
    <row r="512" spans="1:27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 s="237"/>
      <c r="Q512" s="237"/>
      <c r="R512" s="237"/>
      <c r="S512" s="237"/>
      <c r="T512" s="237"/>
      <c r="U512" s="237"/>
      <c r="V512" s="237"/>
      <c r="W512"/>
      <c r="X512"/>
      <c r="Y512"/>
      <c r="Z512"/>
      <c r="AA512"/>
    </row>
    <row r="513" spans="1:27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 s="237"/>
      <c r="Q513" s="237"/>
      <c r="R513" s="237"/>
      <c r="S513" s="237"/>
      <c r="T513" s="237"/>
      <c r="U513" s="237"/>
      <c r="V513" s="237"/>
      <c r="W513"/>
      <c r="X513"/>
      <c r="Y513"/>
      <c r="Z513"/>
      <c r="AA513"/>
    </row>
    <row r="514" spans="1:27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 s="237"/>
      <c r="Q514" s="237"/>
      <c r="R514" s="237"/>
      <c r="S514" s="237"/>
      <c r="T514" s="237"/>
      <c r="U514" s="237"/>
      <c r="V514" s="237"/>
      <c r="W514"/>
      <c r="X514"/>
      <c r="Y514"/>
      <c r="Z514"/>
      <c r="AA514"/>
    </row>
    <row r="515" spans="1:27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 s="237"/>
      <c r="Q515" s="237"/>
      <c r="R515" s="237"/>
      <c r="S515" s="237"/>
      <c r="T515" s="237"/>
      <c r="U515" s="237"/>
      <c r="V515" s="237"/>
      <c r="W515"/>
      <c r="X515"/>
      <c r="Y515"/>
      <c r="Z515"/>
      <c r="AA515"/>
    </row>
    <row r="516" spans="1:27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 s="237"/>
      <c r="Q516" s="237"/>
      <c r="R516" s="237"/>
      <c r="S516" s="237"/>
      <c r="T516" s="237"/>
      <c r="U516" s="237"/>
      <c r="V516" s="237"/>
      <c r="W516"/>
      <c r="X516"/>
      <c r="Y516"/>
      <c r="Z516"/>
      <c r="AA516"/>
    </row>
    <row r="517" spans="1:27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 s="237"/>
      <c r="Q517" s="237"/>
      <c r="R517" s="237"/>
      <c r="S517" s="237"/>
      <c r="T517" s="237"/>
      <c r="U517" s="237"/>
      <c r="V517" s="237"/>
      <c r="W517"/>
      <c r="X517"/>
      <c r="Y517"/>
      <c r="Z517"/>
      <c r="AA517"/>
    </row>
    <row r="518" spans="1:27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 s="237"/>
      <c r="Q518" s="237"/>
      <c r="R518" s="237"/>
      <c r="S518" s="237"/>
      <c r="T518" s="237"/>
      <c r="U518" s="237"/>
      <c r="V518" s="237"/>
      <c r="W518"/>
      <c r="X518"/>
      <c r="Y518"/>
      <c r="Z518"/>
      <c r="AA518"/>
    </row>
    <row r="519" spans="1:27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 s="237"/>
      <c r="Q519" s="237"/>
      <c r="R519" s="237"/>
      <c r="S519" s="237"/>
      <c r="T519" s="237"/>
      <c r="U519" s="237"/>
      <c r="V519" s="237"/>
      <c r="W519"/>
      <c r="X519"/>
      <c r="Y519"/>
      <c r="Z519"/>
      <c r="AA519"/>
    </row>
    <row r="520" spans="1:27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 s="237"/>
      <c r="Q520" s="237"/>
      <c r="R520" s="237"/>
      <c r="S520" s="237"/>
      <c r="T520" s="237"/>
      <c r="U520" s="237"/>
      <c r="V520" s="237"/>
      <c r="W520"/>
      <c r="X520"/>
      <c r="Y520"/>
      <c r="Z520"/>
      <c r="AA520"/>
    </row>
    <row r="521" spans="1:27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 s="237"/>
      <c r="Q521" s="237"/>
      <c r="R521" s="237"/>
      <c r="S521" s="237"/>
      <c r="T521" s="237"/>
      <c r="U521" s="237"/>
      <c r="V521" s="237"/>
      <c r="W521"/>
      <c r="X521"/>
      <c r="Y521"/>
      <c r="Z521"/>
      <c r="AA521"/>
    </row>
    <row r="522" spans="1:27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 s="237"/>
      <c r="Q522" s="237"/>
      <c r="R522" s="237"/>
      <c r="S522" s="237"/>
      <c r="T522" s="237"/>
      <c r="U522" s="237"/>
      <c r="V522" s="237"/>
      <c r="W522"/>
      <c r="X522"/>
      <c r="Y522"/>
      <c r="Z522"/>
      <c r="AA522"/>
    </row>
    <row r="523" spans="1:27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 s="237"/>
      <c r="Q523" s="237"/>
      <c r="R523" s="237"/>
      <c r="S523" s="237"/>
      <c r="T523" s="237"/>
      <c r="U523" s="237"/>
      <c r="V523" s="237"/>
      <c r="W523"/>
      <c r="X523"/>
      <c r="Y523"/>
      <c r="Z523"/>
      <c r="AA523"/>
    </row>
    <row r="524" spans="1:27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 s="237"/>
      <c r="Q524" s="237"/>
      <c r="R524" s="237"/>
      <c r="S524" s="237"/>
      <c r="T524" s="237"/>
      <c r="U524" s="237"/>
      <c r="V524" s="237"/>
      <c r="W524"/>
      <c r="X524"/>
      <c r="Y524"/>
      <c r="Z524"/>
      <c r="AA524"/>
    </row>
    <row r="525" spans="1:27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 s="237"/>
      <c r="Q525" s="237"/>
      <c r="R525" s="237"/>
      <c r="S525" s="237"/>
      <c r="T525" s="237"/>
      <c r="U525" s="237"/>
      <c r="V525" s="237"/>
      <c r="W525"/>
      <c r="X525"/>
      <c r="Y525"/>
      <c r="Z525"/>
      <c r="AA525"/>
    </row>
    <row r="526" spans="1:27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 s="237"/>
      <c r="Q526" s="237"/>
      <c r="R526" s="237"/>
      <c r="S526" s="237"/>
      <c r="T526" s="237"/>
      <c r="U526" s="237"/>
      <c r="V526" s="237"/>
      <c r="W526"/>
      <c r="X526"/>
      <c r="Y526"/>
      <c r="Z526"/>
      <c r="AA526"/>
    </row>
    <row r="527" spans="1:27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 s="237"/>
      <c r="Q527" s="237"/>
      <c r="R527" s="237"/>
      <c r="S527" s="237"/>
      <c r="T527" s="237"/>
      <c r="U527" s="237"/>
      <c r="V527" s="237"/>
      <c r="W527"/>
      <c r="X527"/>
      <c r="Y527"/>
      <c r="Z527"/>
      <c r="AA527"/>
    </row>
    <row r="528" spans="1:27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 s="237"/>
      <c r="Q528" s="237"/>
      <c r="R528" s="237"/>
      <c r="S528" s="237"/>
      <c r="T528" s="237"/>
      <c r="U528" s="237"/>
      <c r="V528" s="237"/>
      <c r="W528"/>
      <c r="X528"/>
      <c r="Y528"/>
      <c r="Z528"/>
      <c r="AA528"/>
    </row>
    <row r="529" spans="1:27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 s="237"/>
      <c r="Q529" s="237"/>
      <c r="R529" s="237"/>
      <c r="S529" s="237"/>
      <c r="T529" s="237"/>
      <c r="U529" s="237"/>
      <c r="V529" s="237"/>
      <c r="W529"/>
      <c r="X529"/>
      <c r="Y529"/>
      <c r="Z529"/>
      <c r="AA529"/>
    </row>
    <row r="530" spans="1:27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 s="237"/>
      <c r="Q530" s="237"/>
      <c r="R530" s="237"/>
      <c r="S530" s="237"/>
      <c r="T530" s="237"/>
      <c r="U530" s="237"/>
      <c r="V530" s="237"/>
      <c r="W530"/>
      <c r="X530"/>
      <c r="Y530"/>
      <c r="Z530"/>
      <c r="AA530"/>
    </row>
    <row r="531" spans="1:27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 s="237"/>
      <c r="Q531" s="237"/>
      <c r="R531" s="237"/>
      <c r="S531" s="237"/>
      <c r="T531" s="237"/>
      <c r="U531" s="237"/>
      <c r="V531" s="237"/>
      <c r="W531"/>
      <c r="X531"/>
      <c r="Y531"/>
      <c r="Z531"/>
      <c r="AA531"/>
    </row>
    <row r="532" spans="1:27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 s="237"/>
      <c r="Q532" s="237"/>
      <c r="R532" s="237"/>
      <c r="S532" s="237"/>
      <c r="T532" s="237"/>
      <c r="U532" s="237"/>
      <c r="V532" s="237"/>
      <c r="W532"/>
      <c r="X532"/>
      <c r="Y532"/>
      <c r="Z532"/>
      <c r="AA532"/>
    </row>
    <row r="533" spans="1:27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 s="237"/>
      <c r="Q533" s="237"/>
      <c r="R533" s="237"/>
      <c r="S533" s="237"/>
      <c r="T533" s="237"/>
      <c r="U533" s="237"/>
      <c r="V533" s="237"/>
      <c r="W533"/>
      <c r="X533"/>
      <c r="Y533"/>
      <c r="Z533"/>
      <c r="AA533"/>
    </row>
    <row r="534" spans="1:27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 s="237"/>
      <c r="Q534" s="237"/>
      <c r="R534" s="237"/>
      <c r="S534" s="237"/>
      <c r="T534" s="237"/>
      <c r="U534" s="237"/>
      <c r="V534" s="237"/>
      <c r="W534"/>
      <c r="X534"/>
      <c r="Y534"/>
      <c r="Z534"/>
      <c r="AA534"/>
    </row>
    <row r="535" spans="1:27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 s="237"/>
      <c r="Q535" s="237"/>
      <c r="R535" s="237"/>
      <c r="S535" s="237"/>
      <c r="T535" s="237"/>
      <c r="U535" s="237"/>
      <c r="V535" s="237"/>
      <c r="W535"/>
      <c r="X535"/>
      <c r="Y535"/>
      <c r="Z535"/>
      <c r="AA535"/>
    </row>
    <row r="536" spans="1:27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 s="237"/>
      <c r="Q536" s="237"/>
      <c r="R536" s="237"/>
      <c r="S536" s="237"/>
      <c r="T536" s="237"/>
      <c r="U536" s="237"/>
      <c r="V536" s="237"/>
      <c r="W536"/>
      <c r="X536"/>
      <c r="Y536"/>
      <c r="Z536"/>
      <c r="AA536"/>
    </row>
    <row r="537" spans="1:27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 s="237"/>
      <c r="Q537" s="237"/>
      <c r="R537" s="237"/>
      <c r="S537" s="237"/>
      <c r="T537" s="237"/>
      <c r="U537" s="237"/>
      <c r="V537" s="237"/>
      <c r="W537"/>
      <c r="X537"/>
      <c r="Y537"/>
      <c r="Z537"/>
      <c r="AA537"/>
    </row>
    <row r="538" spans="1:27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 s="237"/>
      <c r="Q538" s="237"/>
      <c r="R538" s="237"/>
      <c r="S538" s="237"/>
      <c r="T538" s="237"/>
      <c r="U538" s="237"/>
      <c r="V538" s="237"/>
      <c r="W538"/>
      <c r="X538"/>
      <c r="Y538"/>
      <c r="Z538"/>
      <c r="AA538"/>
    </row>
    <row r="539" spans="1:27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 s="237"/>
      <c r="Q539" s="237"/>
      <c r="R539" s="237"/>
      <c r="S539" s="237"/>
      <c r="T539" s="237"/>
      <c r="U539" s="237"/>
      <c r="V539" s="237"/>
      <c r="W539"/>
      <c r="X539"/>
      <c r="Y539"/>
      <c r="Z539"/>
      <c r="AA539"/>
    </row>
    <row r="540" spans="1:27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 s="237"/>
      <c r="Q540" s="237"/>
      <c r="R540" s="237"/>
      <c r="S540" s="237"/>
      <c r="T540" s="237"/>
      <c r="U540" s="237"/>
      <c r="V540" s="237"/>
      <c r="W540"/>
      <c r="X540"/>
      <c r="Y540"/>
      <c r="Z540"/>
      <c r="AA540"/>
    </row>
    <row r="541" spans="1:27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 s="237"/>
      <c r="Q541" s="237"/>
      <c r="R541" s="237"/>
      <c r="S541" s="237"/>
      <c r="T541" s="237"/>
      <c r="U541" s="237"/>
      <c r="V541" s="237"/>
      <c r="W541"/>
      <c r="X541"/>
      <c r="Y541"/>
      <c r="Z541"/>
      <c r="AA541"/>
    </row>
    <row r="542" spans="1:27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 s="237"/>
      <c r="Q542" s="237"/>
      <c r="R542" s="237"/>
      <c r="S542" s="237"/>
      <c r="T542" s="237"/>
      <c r="U542" s="237"/>
      <c r="V542" s="237"/>
      <c r="W542"/>
      <c r="X542"/>
      <c r="Y542"/>
      <c r="Z542"/>
      <c r="AA542"/>
    </row>
    <row r="543" spans="1:27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 s="237"/>
      <c r="Q543" s="237"/>
      <c r="R543" s="237"/>
      <c r="S543" s="237"/>
      <c r="T543" s="237"/>
      <c r="U543" s="237"/>
      <c r="V543" s="237"/>
      <c r="W543"/>
      <c r="X543"/>
      <c r="Y543"/>
      <c r="Z543"/>
      <c r="AA543"/>
    </row>
    <row r="544" spans="1:27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 s="237"/>
      <c r="Q544" s="237"/>
      <c r="R544" s="237"/>
      <c r="S544" s="237"/>
      <c r="T544" s="237"/>
      <c r="U544" s="237"/>
      <c r="V544" s="237"/>
      <c r="W544"/>
      <c r="X544"/>
      <c r="Y544"/>
      <c r="Z544"/>
      <c r="AA544"/>
    </row>
    <row r="545" spans="1:27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 s="237"/>
      <c r="Q545" s="237"/>
      <c r="R545" s="237"/>
      <c r="S545" s="237"/>
      <c r="T545" s="237"/>
      <c r="U545" s="237"/>
      <c r="V545" s="237"/>
      <c r="W545"/>
      <c r="X545"/>
      <c r="Y545"/>
      <c r="Z545"/>
      <c r="AA545"/>
    </row>
    <row r="546" spans="1:27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 s="237"/>
      <c r="Q546" s="237"/>
      <c r="R546" s="237"/>
      <c r="S546" s="237"/>
      <c r="T546" s="237"/>
      <c r="U546" s="237"/>
      <c r="V546" s="237"/>
      <c r="W546"/>
      <c r="X546"/>
      <c r="Y546"/>
      <c r="Z546"/>
      <c r="AA546"/>
    </row>
    <row r="547" spans="1:27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 s="237"/>
      <c r="Q547" s="237"/>
      <c r="R547" s="237"/>
      <c r="S547" s="237"/>
      <c r="T547" s="237"/>
      <c r="U547" s="237"/>
      <c r="V547" s="237"/>
      <c r="W547"/>
      <c r="X547"/>
      <c r="Y547"/>
      <c r="Z547"/>
      <c r="AA547"/>
    </row>
    <row r="548" spans="1:27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 s="237"/>
      <c r="Q548" s="237"/>
      <c r="R548" s="237"/>
      <c r="S548" s="237"/>
      <c r="T548" s="237"/>
      <c r="U548" s="237"/>
      <c r="V548" s="237"/>
      <c r="W548"/>
      <c r="X548"/>
      <c r="Y548"/>
      <c r="Z548"/>
      <c r="AA548"/>
    </row>
    <row r="549" spans="1:27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 s="237"/>
      <c r="Q549" s="237"/>
      <c r="R549" s="237"/>
      <c r="S549" s="237"/>
      <c r="T549" s="237"/>
      <c r="U549" s="237"/>
      <c r="V549" s="237"/>
      <c r="W549"/>
      <c r="X549"/>
      <c r="Y549"/>
      <c r="Z549"/>
      <c r="AA549"/>
    </row>
    <row r="550" spans="1:27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 s="237"/>
      <c r="Q550" s="237"/>
      <c r="R550" s="237"/>
      <c r="S550" s="237"/>
      <c r="T550" s="237"/>
      <c r="U550" s="237"/>
      <c r="V550" s="237"/>
      <c r="W550"/>
      <c r="X550"/>
      <c r="Y550"/>
      <c r="Z550"/>
      <c r="AA550"/>
    </row>
    <row r="551" spans="1:27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 s="237"/>
      <c r="Q551" s="237"/>
      <c r="R551" s="237"/>
      <c r="S551" s="237"/>
      <c r="T551" s="237"/>
      <c r="U551" s="237"/>
      <c r="V551" s="237"/>
      <c r="W551"/>
      <c r="X551"/>
      <c r="Y551"/>
      <c r="Z551"/>
      <c r="AA551"/>
    </row>
    <row r="552" spans="1:27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 s="237"/>
      <c r="Q552" s="237"/>
      <c r="R552" s="237"/>
      <c r="S552" s="237"/>
      <c r="T552" s="237"/>
      <c r="U552" s="237"/>
      <c r="V552" s="237"/>
      <c r="W552"/>
      <c r="X552"/>
      <c r="Y552"/>
      <c r="Z552"/>
      <c r="AA552"/>
    </row>
    <row r="553" spans="1:27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 s="237"/>
      <c r="Q553" s="237"/>
      <c r="R553" s="237"/>
      <c r="S553" s="237"/>
      <c r="T553" s="237"/>
      <c r="U553" s="237"/>
      <c r="V553" s="237"/>
      <c r="W553"/>
      <c r="X553"/>
      <c r="Y553"/>
      <c r="Z553"/>
      <c r="AA553"/>
    </row>
    <row r="554" spans="1:27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 s="237"/>
      <c r="Q554" s="237"/>
      <c r="R554" s="237"/>
      <c r="S554" s="237"/>
      <c r="T554" s="237"/>
      <c r="U554" s="237"/>
      <c r="V554" s="237"/>
      <c r="W554"/>
      <c r="X554"/>
      <c r="Y554"/>
      <c r="Z554"/>
      <c r="AA554"/>
    </row>
    <row r="555" spans="1:27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 s="237"/>
      <c r="Q555" s="237"/>
      <c r="R555" s="237"/>
      <c r="S555" s="237"/>
      <c r="T555" s="237"/>
      <c r="U555" s="237"/>
      <c r="V555" s="237"/>
      <c r="W555"/>
      <c r="X555"/>
      <c r="Y555"/>
      <c r="Z555"/>
      <c r="AA555"/>
    </row>
    <row r="556" spans="1:27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 s="237"/>
      <c r="Q556" s="237"/>
      <c r="R556" s="237"/>
      <c r="S556" s="237"/>
      <c r="T556" s="237"/>
      <c r="U556" s="237"/>
      <c r="V556" s="237"/>
      <c r="W556"/>
      <c r="X556"/>
      <c r="Y556"/>
      <c r="Z556"/>
      <c r="AA556"/>
    </row>
    <row r="557" spans="1:27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 s="237"/>
      <c r="Q557" s="237"/>
      <c r="R557" s="237"/>
      <c r="S557" s="237"/>
      <c r="T557" s="237"/>
      <c r="U557" s="237"/>
      <c r="V557" s="237"/>
      <c r="W557"/>
      <c r="X557"/>
      <c r="Y557"/>
      <c r="Z557"/>
      <c r="AA557"/>
    </row>
    <row r="558" spans="1:27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 s="237"/>
      <c r="Q558" s="237"/>
      <c r="R558" s="237"/>
      <c r="S558" s="237"/>
      <c r="T558" s="237"/>
      <c r="U558" s="237"/>
      <c r="V558" s="237"/>
      <c r="W558"/>
      <c r="X558"/>
      <c r="Y558"/>
      <c r="Z558"/>
      <c r="AA558"/>
    </row>
    <row r="559" spans="1:27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 s="237"/>
      <c r="Q559" s="237"/>
      <c r="R559" s="237"/>
      <c r="S559" s="237"/>
      <c r="T559" s="237"/>
      <c r="U559" s="237"/>
      <c r="V559" s="237"/>
      <c r="W559"/>
      <c r="X559"/>
      <c r="Y559"/>
      <c r="Z559"/>
      <c r="AA559"/>
    </row>
    <row r="560" spans="1:27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 s="237"/>
      <c r="Q560" s="237"/>
      <c r="R560" s="237"/>
      <c r="S560" s="237"/>
      <c r="T560" s="237"/>
      <c r="U560" s="237"/>
      <c r="V560" s="237"/>
      <c r="W560"/>
      <c r="X560"/>
      <c r="Y560"/>
      <c r="Z560"/>
      <c r="AA560"/>
    </row>
    <row r="561" spans="1:27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 s="237"/>
      <c r="Q561" s="237"/>
      <c r="R561" s="237"/>
      <c r="S561" s="237"/>
      <c r="T561" s="237"/>
      <c r="U561" s="237"/>
      <c r="V561" s="237"/>
      <c r="W561"/>
      <c r="X561"/>
      <c r="Y561"/>
      <c r="Z561"/>
      <c r="AA561"/>
    </row>
    <row r="562" spans="1:27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 s="237"/>
      <c r="Q562" s="237"/>
      <c r="R562" s="237"/>
      <c r="S562" s="237"/>
      <c r="T562" s="237"/>
      <c r="U562" s="237"/>
      <c r="V562" s="237"/>
      <c r="W562"/>
      <c r="X562"/>
      <c r="Y562"/>
      <c r="Z562"/>
      <c r="AA562"/>
    </row>
    <row r="563" spans="1:27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 s="237"/>
      <c r="Q563" s="237"/>
      <c r="R563" s="237"/>
      <c r="S563" s="237"/>
      <c r="T563" s="237"/>
      <c r="U563" s="237"/>
      <c r="V563" s="237"/>
      <c r="W563"/>
      <c r="X563"/>
      <c r="Y563"/>
      <c r="Z563"/>
      <c r="AA563"/>
    </row>
    <row r="564" spans="1:27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 s="237"/>
      <c r="Q564" s="237"/>
      <c r="R564" s="237"/>
      <c r="S564" s="237"/>
      <c r="T564" s="237"/>
      <c r="U564" s="237"/>
      <c r="V564" s="237"/>
      <c r="W564"/>
      <c r="X564"/>
      <c r="Y564"/>
      <c r="Z564"/>
      <c r="AA564"/>
    </row>
    <row r="565" spans="1:27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 s="237"/>
      <c r="Q565" s="237"/>
      <c r="R565" s="237"/>
      <c r="S565" s="237"/>
      <c r="T565" s="237"/>
      <c r="U565" s="237"/>
      <c r="V565" s="237"/>
      <c r="W565"/>
      <c r="X565"/>
      <c r="Y565"/>
      <c r="Z565"/>
      <c r="AA565"/>
    </row>
    <row r="566" spans="1:27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 s="237"/>
      <c r="Q566" s="237"/>
      <c r="R566" s="237"/>
      <c r="S566" s="237"/>
      <c r="T566" s="237"/>
      <c r="U566" s="237"/>
      <c r="V566" s="237"/>
      <c r="W566"/>
      <c r="X566"/>
      <c r="Y566"/>
      <c r="Z566"/>
      <c r="AA566"/>
    </row>
    <row r="567" spans="1:27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 s="237"/>
      <c r="Q567" s="237"/>
      <c r="R567" s="237"/>
      <c r="S567" s="237"/>
      <c r="T567" s="237"/>
      <c r="U567" s="237"/>
      <c r="V567" s="237"/>
      <c r="W567"/>
      <c r="X567"/>
      <c r="Y567"/>
      <c r="Z567"/>
      <c r="AA567"/>
    </row>
    <row r="568" spans="1:27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 s="237"/>
      <c r="Q568" s="237"/>
      <c r="R568" s="237"/>
      <c r="S568" s="237"/>
      <c r="T568" s="237"/>
      <c r="U568" s="237"/>
      <c r="V568" s="237"/>
      <c r="W568"/>
      <c r="X568"/>
      <c r="Y568"/>
      <c r="Z568"/>
      <c r="AA568"/>
    </row>
    <row r="569" spans="1:27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 s="237"/>
      <c r="Q569" s="237"/>
      <c r="R569" s="237"/>
      <c r="S569" s="237"/>
      <c r="T569" s="237"/>
      <c r="U569" s="237"/>
      <c r="V569" s="237"/>
      <c r="W569"/>
      <c r="X569"/>
      <c r="Y569"/>
      <c r="Z569"/>
      <c r="AA569"/>
    </row>
    <row r="570" spans="1:27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 s="237"/>
      <c r="Q570" s="237"/>
      <c r="R570" s="237"/>
      <c r="S570" s="237"/>
      <c r="T570" s="237"/>
      <c r="U570" s="237"/>
      <c r="V570" s="237"/>
      <c r="W570"/>
      <c r="X570"/>
      <c r="Y570"/>
      <c r="Z570"/>
      <c r="AA570"/>
    </row>
    <row r="571" spans="1:27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 s="237"/>
      <c r="Q571" s="237"/>
      <c r="R571" s="237"/>
      <c r="S571" s="237"/>
      <c r="T571" s="237"/>
      <c r="U571" s="237"/>
      <c r="V571" s="237"/>
      <c r="W571"/>
      <c r="X571"/>
      <c r="Y571"/>
      <c r="Z571"/>
      <c r="AA571"/>
    </row>
    <row r="572" spans="1:27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 s="237"/>
      <c r="Q572" s="237"/>
      <c r="R572" s="237"/>
      <c r="S572" s="237"/>
      <c r="T572" s="237"/>
      <c r="U572" s="237"/>
      <c r="V572" s="237"/>
      <c r="W572"/>
      <c r="X572"/>
      <c r="Y572"/>
      <c r="Z572"/>
      <c r="AA572"/>
    </row>
    <row r="573" spans="1:27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 s="237"/>
      <c r="Q573" s="237"/>
      <c r="R573" s="237"/>
      <c r="S573" s="237"/>
      <c r="T573" s="237"/>
      <c r="U573" s="237"/>
      <c r="V573" s="237"/>
      <c r="W573"/>
      <c r="X573"/>
      <c r="Y573"/>
      <c r="Z573"/>
      <c r="AA573"/>
    </row>
    <row r="574" spans="1:27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 s="237"/>
      <c r="Q574" s="237"/>
      <c r="R574" s="237"/>
      <c r="S574" s="237"/>
      <c r="T574" s="237"/>
      <c r="U574" s="237"/>
      <c r="V574" s="237"/>
      <c r="W574"/>
      <c r="X574"/>
      <c r="Y574"/>
      <c r="Z574"/>
      <c r="AA574"/>
    </row>
    <row r="575" spans="1:27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 s="237"/>
      <c r="Q575" s="237"/>
      <c r="R575" s="237"/>
      <c r="S575" s="237"/>
      <c r="T575" s="237"/>
      <c r="U575" s="237"/>
      <c r="V575" s="237"/>
      <c r="W575"/>
      <c r="X575"/>
      <c r="Y575"/>
      <c r="Z575"/>
      <c r="AA575"/>
    </row>
    <row r="576" spans="1:27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 s="237"/>
      <c r="Q576" s="237"/>
      <c r="R576" s="237"/>
      <c r="S576" s="237"/>
      <c r="T576" s="237"/>
      <c r="U576" s="237"/>
      <c r="V576" s="237"/>
      <c r="W576"/>
      <c r="X576"/>
      <c r="Y576"/>
      <c r="Z576"/>
      <c r="AA576"/>
    </row>
    <row r="577" spans="1:27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 s="237"/>
      <c r="Q577" s="237"/>
      <c r="R577" s="237"/>
      <c r="S577" s="237"/>
      <c r="T577" s="237"/>
      <c r="U577" s="237"/>
      <c r="V577" s="237"/>
      <c r="W577"/>
      <c r="X577"/>
      <c r="Y577"/>
      <c r="Z577"/>
      <c r="AA577"/>
    </row>
    <row r="578" spans="1:27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 s="237"/>
      <c r="Q578" s="237"/>
      <c r="R578" s="237"/>
      <c r="S578" s="237"/>
      <c r="T578" s="237"/>
      <c r="U578" s="237"/>
      <c r="V578" s="237"/>
      <c r="W578"/>
      <c r="X578"/>
      <c r="Y578"/>
      <c r="Z578"/>
      <c r="AA578"/>
    </row>
    <row r="579" spans="1:27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 s="237"/>
      <c r="Q579" s="237"/>
      <c r="R579" s="237"/>
      <c r="S579" s="237"/>
      <c r="T579" s="237"/>
      <c r="U579" s="237"/>
      <c r="V579" s="237"/>
      <c r="W579"/>
      <c r="X579"/>
      <c r="Y579"/>
      <c r="Z579"/>
      <c r="AA579"/>
    </row>
    <row r="580" spans="1:27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 s="237"/>
      <c r="Q580" s="237"/>
      <c r="R580" s="237"/>
      <c r="S580" s="237"/>
      <c r="T580" s="237"/>
      <c r="U580" s="237"/>
      <c r="V580" s="237"/>
      <c r="W580"/>
      <c r="X580"/>
      <c r="Y580"/>
      <c r="Z580"/>
      <c r="AA580"/>
    </row>
    <row r="581" spans="1:27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 s="237"/>
      <c r="Q581" s="237"/>
      <c r="R581" s="237"/>
      <c r="S581" s="237"/>
      <c r="T581" s="237"/>
      <c r="U581" s="237"/>
      <c r="V581" s="237"/>
      <c r="W581"/>
      <c r="X581"/>
      <c r="Y581"/>
      <c r="Z581"/>
      <c r="AA581"/>
    </row>
    <row r="582" spans="1:27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 s="237"/>
      <c r="Q582" s="237"/>
      <c r="R582" s="237"/>
      <c r="S582" s="237"/>
      <c r="T582" s="237"/>
      <c r="U582" s="237"/>
      <c r="V582" s="237"/>
      <c r="W582"/>
      <c r="X582"/>
      <c r="Y582"/>
      <c r="Z582"/>
      <c r="AA582"/>
    </row>
    <row r="583" spans="1:27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 s="237"/>
      <c r="Q583" s="237"/>
      <c r="R583" s="237"/>
      <c r="S583" s="237"/>
      <c r="T583" s="237"/>
      <c r="U583" s="237"/>
      <c r="V583" s="237"/>
      <c r="W583"/>
      <c r="X583"/>
      <c r="Y583"/>
      <c r="Z583"/>
      <c r="AA583"/>
    </row>
    <row r="584" spans="1:27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 s="237"/>
      <c r="Q584" s="237"/>
      <c r="R584" s="237"/>
      <c r="S584" s="237"/>
      <c r="T584" s="237"/>
      <c r="U584" s="237"/>
      <c r="V584" s="237"/>
      <c r="W584"/>
      <c r="X584"/>
      <c r="Y584"/>
      <c r="Z584"/>
      <c r="AA584"/>
    </row>
    <row r="585" spans="1:27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 s="237"/>
      <c r="Q585" s="237"/>
      <c r="R585" s="237"/>
      <c r="S585" s="237"/>
      <c r="T585" s="237"/>
      <c r="U585" s="237"/>
      <c r="V585" s="237"/>
      <c r="W585"/>
      <c r="X585"/>
      <c r="Y585"/>
      <c r="Z585"/>
      <c r="AA585"/>
    </row>
    <row r="586" spans="1:27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 s="237"/>
      <c r="Q586" s="237"/>
      <c r="R586" s="237"/>
      <c r="S586" s="237"/>
      <c r="T586" s="237"/>
      <c r="U586" s="237"/>
      <c r="V586" s="237"/>
      <c r="W586"/>
      <c r="X586"/>
      <c r="Y586"/>
      <c r="Z586"/>
      <c r="AA586"/>
    </row>
    <row r="587" spans="1:27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 s="237"/>
      <c r="Q587" s="237"/>
      <c r="R587" s="237"/>
      <c r="S587" s="237"/>
      <c r="T587" s="237"/>
      <c r="U587" s="237"/>
      <c r="V587" s="237"/>
      <c r="W587"/>
      <c r="X587"/>
      <c r="Y587"/>
      <c r="Z587"/>
      <c r="AA587"/>
    </row>
    <row r="588" spans="1:27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 s="237"/>
      <c r="Q588" s="237"/>
      <c r="R588" s="237"/>
      <c r="S588" s="237"/>
      <c r="T588" s="237"/>
      <c r="U588" s="237"/>
      <c r="V588" s="237"/>
      <c r="W588"/>
      <c r="X588"/>
      <c r="Y588"/>
      <c r="Z588"/>
      <c r="AA588"/>
    </row>
    <row r="589" spans="1:27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 s="237"/>
      <c r="Q589" s="237"/>
      <c r="R589" s="237"/>
      <c r="S589" s="237"/>
      <c r="T589" s="237"/>
      <c r="U589" s="237"/>
      <c r="V589" s="237"/>
      <c r="W589"/>
      <c r="X589"/>
      <c r="Y589"/>
      <c r="Z589"/>
      <c r="AA589"/>
    </row>
    <row r="590" spans="1:27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 s="237"/>
      <c r="Q590" s="237"/>
      <c r="R590" s="237"/>
      <c r="S590" s="237"/>
      <c r="T590" s="237"/>
      <c r="U590" s="237"/>
      <c r="V590" s="237"/>
      <c r="W590"/>
      <c r="X590"/>
      <c r="Y590"/>
      <c r="Z590"/>
      <c r="AA590"/>
    </row>
    <row r="591" spans="1:27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 s="237"/>
      <c r="Q591" s="237"/>
      <c r="R591" s="237"/>
      <c r="S591" s="237"/>
      <c r="T591" s="237"/>
      <c r="U591" s="237"/>
      <c r="V591" s="237"/>
      <c r="W591"/>
      <c r="X591"/>
      <c r="Y591"/>
      <c r="Z591"/>
      <c r="AA591"/>
    </row>
    <row r="592" spans="1:27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 s="237"/>
      <c r="Q592" s="237"/>
      <c r="R592" s="237"/>
      <c r="S592" s="237"/>
      <c r="T592" s="237"/>
      <c r="U592" s="237"/>
      <c r="V592" s="237"/>
      <c r="W592"/>
      <c r="X592"/>
      <c r="Y592"/>
      <c r="Z592"/>
      <c r="AA592"/>
    </row>
    <row r="593" spans="1:27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 s="237"/>
      <c r="Q593" s="237"/>
      <c r="R593" s="237"/>
      <c r="S593" s="237"/>
      <c r="T593" s="237"/>
      <c r="U593" s="237"/>
      <c r="V593" s="237"/>
      <c r="W593"/>
      <c r="X593"/>
      <c r="Y593"/>
      <c r="Z593"/>
      <c r="AA593"/>
    </row>
    <row r="594" spans="1:27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 s="237"/>
      <c r="Q594" s="237"/>
      <c r="R594" s="237"/>
      <c r="S594" s="237"/>
      <c r="T594" s="237"/>
      <c r="U594" s="237"/>
      <c r="V594" s="237"/>
      <c r="W594"/>
      <c r="X594"/>
      <c r="Y594"/>
      <c r="Z594"/>
      <c r="AA594"/>
    </row>
    <row r="595" spans="1:27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 s="237"/>
      <c r="Q595" s="237"/>
      <c r="R595" s="237"/>
      <c r="S595" s="237"/>
      <c r="T595" s="237"/>
      <c r="U595" s="237"/>
      <c r="V595" s="237"/>
      <c r="W595"/>
      <c r="X595"/>
      <c r="Y595"/>
      <c r="Z595"/>
      <c r="AA595"/>
    </row>
    <row r="596" spans="1:27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 s="237"/>
      <c r="Q596" s="237"/>
      <c r="R596" s="237"/>
      <c r="S596" s="237"/>
      <c r="T596" s="237"/>
      <c r="U596" s="237"/>
      <c r="V596" s="237"/>
      <c r="W596"/>
      <c r="X596"/>
      <c r="Y596"/>
      <c r="Z596"/>
      <c r="AA596"/>
    </row>
    <row r="597" spans="1:27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 s="237"/>
      <c r="Q597" s="237"/>
      <c r="R597" s="237"/>
      <c r="S597" s="237"/>
      <c r="T597" s="237"/>
      <c r="U597" s="237"/>
      <c r="V597" s="237"/>
      <c r="W597"/>
      <c r="X597"/>
      <c r="Y597"/>
      <c r="Z597"/>
      <c r="AA597"/>
    </row>
    <row r="598" spans="1:27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 s="237"/>
      <c r="Q598" s="237"/>
      <c r="R598" s="237"/>
      <c r="S598" s="237"/>
      <c r="T598" s="237"/>
      <c r="U598" s="237"/>
      <c r="V598" s="237"/>
      <c r="W598"/>
      <c r="X598"/>
      <c r="Y598"/>
      <c r="Z598"/>
      <c r="AA598"/>
    </row>
    <row r="599" spans="1:27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 s="237"/>
      <c r="Q599" s="237"/>
      <c r="R599" s="237"/>
      <c r="S599" s="237"/>
      <c r="T599" s="237"/>
      <c r="U599" s="237"/>
      <c r="V599" s="237"/>
      <c r="W599"/>
      <c r="X599"/>
      <c r="Y599"/>
      <c r="Z599"/>
      <c r="AA599"/>
    </row>
    <row r="600" spans="1:27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 s="237"/>
      <c r="Q600" s="237"/>
      <c r="R600" s="237"/>
      <c r="S600" s="237"/>
      <c r="T600" s="237"/>
      <c r="U600" s="237"/>
      <c r="V600" s="237"/>
      <c r="W600"/>
      <c r="X600"/>
      <c r="Y600"/>
      <c r="Z600"/>
      <c r="AA600"/>
    </row>
    <row r="601" spans="1:27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 s="237"/>
      <c r="Q601" s="237"/>
      <c r="R601" s="237"/>
      <c r="S601" s="237"/>
      <c r="T601" s="237"/>
      <c r="U601" s="237"/>
      <c r="V601" s="237"/>
      <c r="W601"/>
      <c r="X601"/>
      <c r="Y601"/>
      <c r="Z601"/>
      <c r="AA601"/>
    </row>
    <row r="602" spans="1:27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 s="237"/>
      <c r="Q602" s="237"/>
      <c r="R602" s="237"/>
      <c r="S602" s="237"/>
      <c r="T602" s="237"/>
      <c r="U602" s="237"/>
      <c r="V602" s="237"/>
      <c r="W602"/>
      <c r="X602"/>
      <c r="Y602"/>
      <c r="Z602"/>
      <c r="AA602"/>
    </row>
    <row r="603" spans="1:27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 s="237"/>
      <c r="Q603" s="237"/>
      <c r="R603" s="237"/>
      <c r="S603" s="237"/>
      <c r="T603" s="237"/>
      <c r="U603" s="237"/>
      <c r="V603" s="237"/>
      <c r="W603"/>
      <c r="X603"/>
      <c r="Y603"/>
      <c r="Z603"/>
      <c r="AA603"/>
    </row>
    <row r="604" spans="1:27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 s="237"/>
      <c r="Q604" s="237"/>
      <c r="R604" s="237"/>
      <c r="S604" s="237"/>
      <c r="T604" s="237"/>
      <c r="U604" s="237"/>
      <c r="V604" s="237"/>
      <c r="W604"/>
      <c r="X604"/>
      <c r="Y604"/>
      <c r="Z604"/>
      <c r="AA604"/>
    </row>
    <row r="605" spans="1:27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 s="237"/>
      <c r="Q605" s="237"/>
      <c r="R605" s="237"/>
      <c r="S605" s="237"/>
      <c r="T605" s="237"/>
      <c r="U605" s="237"/>
      <c r="V605" s="237"/>
      <c r="W605"/>
      <c r="X605"/>
      <c r="Y605"/>
      <c r="Z605"/>
      <c r="AA605"/>
    </row>
    <row r="606" spans="1:27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 s="237"/>
      <c r="Q606" s="237"/>
      <c r="R606" s="237"/>
      <c r="S606" s="237"/>
      <c r="T606" s="237"/>
      <c r="U606" s="237"/>
      <c r="V606" s="237"/>
      <c r="W606"/>
      <c r="X606"/>
      <c r="Y606"/>
      <c r="Z606"/>
      <c r="AA606"/>
    </row>
    <row r="607" spans="1:27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 s="237"/>
      <c r="Q607" s="237"/>
      <c r="R607" s="237"/>
      <c r="S607" s="237"/>
      <c r="T607" s="237"/>
      <c r="U607" s="237"/>
      <c r="V607" s="237"/>
      <c r="W607"/>
      <c r="X607"/>
      <c r="Y607"/>
      <c r="Z607"/>
      <c r="AA607"/>
    </row>
    <row r="608" spans="1:27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 s="237"/>
      <c r="Q608" s="237"/>
      <c r="R608" s="237"/>
      <c r="S608" s="237"/>
      <c r="T608" s="237"/>
      <c r="U608" s="237"/>
      <c r="V608" s="237"/>
      <c r="W608"/>
      <c r="X608"/>
      <c r="Y608"/>
      <c r="Z608"/>
      <c r="AA608"/>
    </row>
    <row r="609" spans="1:27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 s="237"/>
      <c r="Q609" s="237"/>
      <c r="R609" s="237"/>
      <c r="S609" s="237"/>
      <c r="T609" s="237"/>
      <c r="U609" s="237"/>
      <c r="V609" s="237"/>
      <c r="W609"/>
      <c r="X609"/>
      <c r="Y609"/>
      <c r="Z609"/>
      <c r="AA609"/>
    </row>
    <row r="610" spans="1:27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 s="237"/>
      <c r="Q610" s="237"/>
      <c r="R610" s="237"/>
      <c r="S610" s="237"/>
      <c r="T610" s="237"/>
      <c r="U610" s="237"/>
      <c r="V610" s="237"/>
      <c r="W610"/>
      <c r="X610"/>
      <c r="Y610"/>
      <c r="Z610"/>
      <c r="AA610"/>
    </row>
    <row r="611" spans="1:27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 s="237"/>
      <c r="Q611" s="237"/>
      <c r="R611" s="237"/>
      <c r="S611" s="237"/>
      <c r="T611" s="237"/>
      <c r="U611" s="237"/>
      <c r="V611" s="237"/>
      <c r="W611"/>
      <c r="X611"/>
      <c r="Y611"/>
      <c r="Z611"/>
      <c r="AA611"/>
    </row>
    <row r="612" spans="1:27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 s="237"/>
      <c r="Q612" s="237"/>
      <c r="R612" s="237"/>
      <c r="S612" s="237"/>
      <c r="T612" s="237"/>
      <c r="U612" s="237"/>
      <c r="V612" s="237"/>
      <c r="W612"/>
      <c r="X612"/>
      <c r="Y612"/>
      <c r="Z612"/>
      <c r="AA612"/>
    </row>
    <row r="613" spans="1:27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 s="237"/>
      <c r="Q613" s="237"/>
      <c r="R613" s="237"/>
      <c r="S613" s="237"/>
      <c r="T613" s="237"/>
      <c r="U613" s="237"/>
      <c r="V613" s="237"/>
      <c r="W613"/>
      <c r="X613"/>
      <c r="Y613"/>
      <c r="Z613"/>
      <c r="AA613"/>
    </row>
    <row r="614" spans="1:27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 s="237"/>
      <c r="Q614" s="237"/>
      <c r="R614" s="237"/>
      <c r="S614" s="237"/>
      <c r="T614" s="237"/>
      <c r="U614" s="237"/>
      <c r="V614" s="237"/>
      <c r="W614"/>
      <c r="X614"/>
      <c r="Y614"/>
      <c r="Z614"/>
      <c r="AA614"/>
    </row>
    <row r="615" spans="1:27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 s="237"/>
      <c r="Q615" s="237"/>
      <c r="R615" s="237"/>
      <c r="S615" s="237"/>
      <c r="T615" s="237"/>
      <c r="U615" s="237"/>
      <c r="V615" s="237"/>
      <c r="W615"/>
      <c r="X615"/>
      <c r="Y615"/>
      <c r="Z615"/>
      <c r="AA615"/>
    </row>
    <row r="616" spans="1:27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 s="237"/>
      <c r="Q616" s="237"/>
      <c r="R616" s="237"/>
      <c r="S616" s="237"/>
      <c r="T616" s="237"/>
      <c r="U616" s="237"/>
      <c r="V616" s="237"/>
      <c r="W616"/>
      <c r="X616"/>
      <c r="Y616"/>
      <c r="Z616"/>
      <c r="AA616"/>
    </row>
    <row r="617" spans="1:27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 s="237"/>
      <c r="Q617" s="237"/>
      <c r="R617" s="237"/>
      <c r="S617" s="237"/>
      <c r="T617" s="237"/>
      <c r="U617" s="237"/>
      <c r="V617" s="237"/>
      <c r="W617"/>
      <c r="X617"/>
      <c r="Y617"/>
      <c r="Z617"/>
      <c r="AA617"/>
    </row>
    <row r="618" spans="1:27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 s="237"/>
      <c r="Q618" s="237"/>
      <c r="R618" s="237"/>
      <c r="S618" s="237"/>
      <c r="T618" s="237"/>
      <c r="U618" s="237"/>
      <c r="V618" s="237"/>
      <c r="W618"/>
      <c r="X618"/>
      <c r="Y618"/>
      <c r="Z618"/>
      <c r="AA618"/>
    </row>
    <row r="619" spans="1:27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 s="237"/>
      <c r="Q619" s="237"/>
      <c r="R619" s="237"/>
      <c r="S619" s="237"/>
      <c r="T619" s="237"/>
      <c r="U619" s="237"/>
      <c r="V619" s="237"/>
      <c r="W619"/>
      <c r="X619"/>
      <c r="Y619"/>
      <c r="Z619"/>
      <c r="AA619"/>
    </row>
    <row r="620" spans="1:27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 s="237"/>
      <c r="Q620" s="237"/>
      <c r="R620" s="237"/>
      <c r="S620" s="237"/>
      <c r="T620" s="237"/>
      <c r="U620" s="237"/>
      <c r="V620" s="237"/>
      <c r="W620"/>
      <c r="X620"/>
      <c r="Y620"/>
      <c r="Z620"/>
      <c r="AA620"/>
    </row>
    <row r="621" spans="1:27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 s="237"/>
      <c r="Q621" s="237"/>
      <c r="R621" s="237"/>
      <c r="S621" s="237"/>
      <c r="T621" s="237"/>
      <c r="U621" s="237"/>
      <c r="V621" s="237"/>
      <c r="W621"/>
      <c r="X621"/>
      <c r="Y621"/>
      <c r="Z621"/>
      <c r="AA621"/>
    </row>
    <row r="622" spans="1:27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 s="237"/>
      <c r="Q622" s="237"/>
      <c r="R622" s="237"/>
      <c r="S622" s="237"/>
      <c r="T622" s="237"/>
      <c r="U622" s="237"/>
      <c r="V622" s="237"/>
      <c r="W622"/>
      <c r="X622"/>
      <c r="Y622"/>
      <c r="Z622"/>
      <c r="AA622"/>
    </row>
    <row r="623" spans="1:27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 s="237"/>
      <c r="Q623" s="237"/>
      <c r="R623" s="237"/>
      <c r="S623" s="237"/>
      <c r="T623" s="237"/>
      <c r="U623" s="237"/>
      <c r="V623" s="237"/>
      <c r="W623"/>
      <c r="X623"/>
      <c r="Y623"/>
      <c r="Z623"/>
      <c r="AA623"/>
    </row>
    <row r="624" spans="1:27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 s="237"/>
      <c r="Q624" s="237"/>
      <c r="R624" s="237"/>
      <c r="S624" s="237"/>
      <c r="T624" s="237"/>
      <c r="U624" s="237"/>
      <c r="V624" s="237"/>
      <c r="W624"/>
      <c r="X624"/>
      <c r="Y624"/>
      <c r="Z624"/>
      <c r="AA624"/>
    </row>
    <row r="625" spans="1:27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 s="237"/>
      <c r="Q625" s="237"/>
      <c r="R625" s="237"/>
      <c r="S625" s="237"/>
      <c r="T625" s="237"/>
      <c r="U625" s="237"/>
      <c r="V625" s="237"/>
      <c r="W625"/>
      <c r="X625"/>
      <c r="Y625"/>
      <c r="Z625"/>
      <c r="AA625"/>
    </row>
    <row r="626" spans="1:27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 s="237"/>
      <c r="Q626" s="237"/>
      <c r="R626" s="237"/>
      <c r="S626" s="237"/>
      <c r="T626" s="237"/>
      <c r="U626" s="237"/>
      <c r="V626" s="237"/>
      <c r="W626"/>
      <c r="X626"/>
      <c r="Y626"/>
      <c r="Z626"/>
      <c r="AA626"/>
    </row>
    <row r="627" spans="1:27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 s="237"/>
      <c r="Q627" s="237"/>
      <c r="R627" s="237"/>
      <c r="S627" s="237"/>
      <c r="T627" s="237"/>
      <c r="U627" s="237"/>
      <c r="V627" s="237"/>
      <c r="W627"/>
      <c r="X627"/>
      <c r="Y627"/>
      <c r="Z627"/>
      <c r="AA627"/>
    </row>
    <row r="628" spans="1:27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 s="237"/>
      <c r="Q628" s="237"/>
      <c r="R628" s="237"/>
      <c r="S628" s="237"/>
      <c r="T628" s="237"/>
      <c r="U628" s="237"/>
      <c r="V628" s="237"/>
      <c r="W628"/>
      <c r="X628"/>
      <c r="Y628"/>
      <c r="Z628"/>
      <c r="AA628"/>
    </row>
    <row r="629" spans="1:27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 s="237"/>
      <c r="Q629" s="237"/>
      <c r="R629" s="237"/>
      <c r="S629" s="237"/>
      <c r="T629" s="237"/>
      <c r="U629" s="237"/>
      <c r="V629" s="237"/>
      <c r="W629"/>
      <c r="X629"/>
      <c r="Y629"/>
      <c r="Z629"/>
      <c r="AA629"/>
    </row>
    <row r="630" spans="1:27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 s="237"/>
      <c r="Q630" s="237"/>
      <c r="R630" s="237"/>
      <c r="S630" s="237"/>
      <c r="T630" s="237"/>
      <c r="U630" s="237"/>
      <c r="V630" s="237"/>
      <c r="W630"/>
      <c r="X630"/>
      <c r="Y630"/>
      <c r="Z630"/>
      <c r="AA630"/>
    </row>
    <row r="631" spans="1:27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 s="237"/>
      <c r="Q631" s="237"/>
      <c r="R631" s="237"/>
      <c r="S631" s="237"/>
      <c r="T631" s="237"/>
      <c r="U631" s="237"/>
      <c r="V631" s="237"/>
      <c r="W631"/>
      <c r="X631"/>
      <c r="Y631"/>
      <c r="Z631"/>
      <c r="AA631"/>
    </row>
    <row r="632" spans="1:27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 s="237"/>
      <c r="Q632" s="237"/>
      <c r="R632" s="237"/>
      <c r="S632" s="237"/>
      <c r="T632" s="237"/>
      <c r="U632" s="237"/>
      <c r="V632" s="237"/>
      <c r="W632"/>
      <c r="X632"/>
      <c r="Y632"/>
      <c r="Z632"/>
      <c r="AA632"/>
    </row>
    <row r="633" spans="1:27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 s="237"/>
      <c r="Q633" s="237"/>
      <c r="R633" s="237"/>
      <c r="S633" s="237"/>
      <c r="T633" s="237"/>
      <c r="U633" s="237"/>
      <c r="V633" s="237"/>
      <c r="W633"/>
      <c r="X633"/>
      <c r="Y633"/>
      <c r="Z633"/>
      <c r="AA633"/>
    </row>
    <row r="634" spans="1:27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 s="237"/>
      <c r="Q634" s="237"/>
      <c r="R634" s="237"/>
      <c r="S634" s="237"/>
      <c r="T634" s="237"/>
      <c r="U634" s="237"/>
      <c r="V634" s="237"/>
      <c r="W634"/>
      <c r="X634"/>
      <c r="Y634"/>
      <c r="Z634"/>
      <c r="AA634"/>
    </row>
    <row r="635" spans="1:27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 s="237"/>
      <c r="Q635" s="237"/>
      <c r="R635" s="237"/>
      <c r="S635" s="237"/>
      <c r="T635" s="237"/>
      <c r="U635" s="237"/>
      <c r="V635" s="237"/>
      <c r="W635"/>
      <c r="X635"/>
      <c r="Y635"/>
      <c r="Z635"/>
      <c r="AA635"/>
    </row>
    <row r="636" spans="1:27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 s="237"/>
      <c r="Q636" s="237"/>
      <c r="R636" s="237"/>
      <c r="S636" s="237"/>
      <c r="T636" s="237"/>
      <c r="U636" s="237"/>
      <c r="V636" s="237"/>
      <c r="W636"/>
      <c r="X636"/>
      <c r="Y636"/>
      <c r="Z636"/>
      <c r="AA636"/>
    </row>
    <row r="637" spans="1:27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 s="237"/>
      <c r="Q637" s="237"/>
      <c r="R637" s="237"/>
      <c r="S637" s="237"/>
      <c r="T637" s="237"/>
      <c r="U637" s="237"/>
      <c r="V637" s="237"/>
      <c r="W637"/>
      <c r="X637"/>
      <c r="Y637"/>
      <c r="Z637"/>
      <c r="AA637"/>
    </row>
    <row r="638" spans="1:27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 s="237"/>
      <c r="Q638" s="237"/>
      <c r="R638" s="237"/>
      <c r="S638" s="237"/>
      <c r="T638" s="237"/>
      <c r="U638" s="237"/>
      <c r="V638" s="237"/>
      <c r="W638"/>
      <c r="X638"/>
      <c r="Y638"/>
      <c r="Z638"/>
      <c r="AA638"/>
    </row>
    <row r="639" spans="1:27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 s="237"/>
      <c r="Q639" s="237"/>
      <c r="R639" s="237"/>
      <c r="S639" s="237"/>
      <c r="T639" s="237"/>
      <c r="U639" s="237"/>
      <c r="V639" s="237"/>
      <c r="W639"/>
      <c r="X639"/>
      <c r="Y639"/>
      <c r="Z639"/>
      <c r="AA639"/>
    </row>
    <row r="640" spans="1:27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 s="237"/>
      <c r="Q640" s="237"/>
      <c r="R640" s="237"/>
      <c r="S640" s="237"/>
      <c r="T640" s="237"/>
      <c r="U640" s="237"/>
      <c r="V640" s="237"/>
      <c r="W640"/>
      <c r="X640"/>
      <c r="Y640"/>
      <c r="Z640"/>
      <c r="AA640"/>
    </row>
    <row r="641" spans="1:27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 s="237"/>
      <c r="Q641" s="237"/>
      <c r="R641" s="237"/>
      <c r="S641" s="237"/>
      <c r="T641" s="237"/>
      <c r="U641" s="237"/>
      <c r="V641" s="237"/>
      <c r="W641"/>
      <c r="X641"/>
      <c r="Y641"/>
      <c r="Z641"/>
      <c r="AA641"/>
    </row>
    <row r="642" spans="1:27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 s="237"/>
      <c r="Q642" s="237"/>
      <c r="R642" s="237"/>
      <c r="S642" s="237"/>
      <c r="T642" s="237"/>
      <c r="U642" s="237"/>
      <c r="V642" s="237"/>
      <c r="W642"/>
      <c r="X642"/>
      <c r="Y642"/>
      <c r="Z642"/>
      <c r="AA642"/>
    </row>
    <row r="643" spans="1:27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 s="237"/>
      <c r="Q643" s="237"/>
      <c r="R643" s="237"/>
      <c r="S643" s="237"/>
      <c r="T643" s="237"/>
      <c r="U643" s="237"/>
      <c r="V643" s="237"/>
      <c r="W643"/>
      <c r="X643"/>
      <c r="Y643"/>
      <c r="Z643"/>
      <c r="AA643"/>
    </row>
    <row r="644" spans="1:27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 s="237"/>
      <c r="Q644" s="237"/>
      <c r="R644" s="237"/>
      <c r="S644" s="237"/>
      <c r="T644" s="237"/>
      <c r="U644" s="237"/>
      <c r="V644" s="237"/>
      <c r="W644"/>
      <c r="X644"/>
      <c r="Y644"/>
      <c r="Z644"/>
      <c r="AA644"/>
    </row>
    <row r="645" spans="1:27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 s="237"/>
      <c r="Q645" s="237"/>
      <c r="R645" s="237"/>
      <c r="S645" s="237"/>
      <c r="T645" s="237"/>
      <c r="U645" s="237"/>
      <c r="V645" s="237"/>
      <c r="W645"/>
      <c r="X645"/>
      <c r="Y645"/>
      <c r="Z645"/>
      <c r="AA645"/>
    </row>
    <row r="646" spans="1:27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 s="237"/>
      <c r="Q646" s="237"/>
      <c r="R646" s="237"/>
      <c r="S646" s="237"/>
      <c r="T646" s="237"/>
      <c r="U646" s="237"/>
      <c r="V646" s="237"/>
      <c r="W646"/>
      <c r="X646"/>
      <c r="Y646"/>
      <c r="Z646"/>
      <c r="AA646"/>
    </row>
    <row r="647" spans="1:27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 s="237"/>
      <c r="Q647" s="237"/>
      <c r="R647" s="237"/>
      <c r="S647" s="237"/>
      <c r="T647" s="237"/>
      <c r="U647" s="237"/>
      <c r="V647" s="237"/>
      <c r="W647"/>
      <c r="X647"/>
      <c r="Y647"/>
      <c r="Z647"/>
      <c r="AA647"/>
    </row>
    <row r="648" spans="1:27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 s="237"/>
      <c r="Q648" s="237"/>
      <c r="R648" s="237"/>
      <c r="S648" s="237"/>
      <c r="T648" s="237"/>
      <c r="U648" s="237"/>
      <c r="V648" s="237"/>
      <c r="W648"/>
      <c r="X648"/>
      <c r="Y648"/>
      <c r="Z648"/>
      <c r="AA648"/>
    </row>
    <row r="649" spans="1:27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 s="237"/>
      <c r="Q649" s="237"/>
      <c r="R649" s="237"/>
      <c r="S649" s="237"/>
      <c r="T649" s="237"/>
      <c r="U649" s="237"/>
      <c r="V649" s="237"/>
      <c r="W649"/>
      <c r="X649"/>
      <c r="Y649"/>
      <c r="Z649"/>
      <c r="AA649"/>
    </row>
    <row r="650" spans="1:27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 s="237"/>
      <c r="Q650" s="237"/>
      <c r="R650" s="237"/>
      <c r="S650" s="237"/>
      <c r="T650" s="237"/>
      <c r="U650" s="237"/>
      <c r="V650" s="237"/>
      <c r="W650"/>
      <c r="X650"/>
      <c r="Y650"/>
      <c r="Z650"/>
      <c r="AA650"/>
    </row>
    <row r="651" spans="1:27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 s="237"/>
      <c r="Q651" s="237"/>
      <c r="R651" s="237"/>
      <c r="S651" s="237"/>
      <c r="T651" s="237"/>
      <c r="U651" s="237"/>
      <c r="V651" s="237"/>
      <c r="W651"/>
      <c r="X651"/>
      <c r="Y651"/>
      <c r="Z651"/>
      <c r="AA651"/>
    </row>
    <row r="652" spans="1:27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 s="237"/>
      <c r="Q652" s="237"/>
      <c r="R652" s="237"/>
      <c r="S652" s="237"/>
      <c r="T652" s="237"/>
      <c r="U652" s="237"/>
      <c r="V652" s="237"/>
      <c r="W652"/>
      <c r="X652"/>
      <c r="Y652"/>
      <c r="Z652"/>
      <c r="AA652"/>
    </row>
    <row r="653" spans="1:27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 s="237"/>
      <c r="Q653" s="237"/>
      <c r="R653" s="237"/>
      <c r="S653" s="237"/>
      <c r="T653" s="237"/>
      <c r="U653" s="237"/>
      <c r="V653" s="237"/>
      <c r="W653"/>
      <c r="X653"/>
      <c r="Y653"/>
      <c r="Z653"/>
      <c r="AA653"/>
    </row>
    <row r="654" spans="1:27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 s="237"/>
      <c r="Q654" s="237"/>
      <c r="R654" s="237"/>
      <c r="S654" s="237"/>
      <c r="T654" s="237"/>
      <c r="U654" s="237"/>
      <c r="V654" s="237"/>
      <c r="W654"/>
      <c r="X654"/>
      <c r="Y654"/>
      <c r="Z654"/>
      <c r="AA654"/>
    </row>
    <row r="655" spans="1:27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 s="237"/>
      <c r="Q655" s="237"/>
      <c r="R655" s="237"/>
      <c r="S655" s="237"/>
      <c r="T655" s="237"/>
      <c r="U655" s="237"/>
      <c r="V655" s="237"/>
      <c r="W655"/>
      <c r="X655"/>
      <c r="Y655"/>
      <c r="Z655"/>
      <c r="AA655"/>
    </row>
    <row r="656" spans="1:27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 s="237"/>
      <c r="Q656" s="237"/>
      <c r="R656" s="237"/>
      <c r="S656" s="237"/>
      <c r="T656" s="237"/>
      <c r="U656" s="237"/>
      <c r="V656" s="237"/>
      <c r="W656"/>
      <c r="X656"/>
      <c r="Y656"/>
      <c r="Z656"/>
      <c r="AA656"/>
    </row>
    <row r="657" spans="1:27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 s="237"/>
      <c r="Q657" s="237"/>
      <c r="R657" s="237"/>
      <c r="S657" s="237"/>
      <c r="T657" s="237"/>
      <c r="U657" s="237"/>
      <c r="V657" s="237"/>
      <c r="W657"/>
      <c r="X657"/>
      <c r="Y657"/>
      <c r="Z657"/>
      <c r="AA657"/>
    </row>
    <row r="658" spans="1:27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 s="237"/>
      <c r="Q658" s="237"/>
      <c r="R658" s="237"/>
      <c r="S658" s="237"/>
      <c r="T658" s="237"/>
      <c r="U658" s="237"/>
      <c r="V658" s="237"/>
      <c r="W658"/>
      <c r="X658"/>
      <c r="Y658"/>
      <c r="Z658"/>
      <c r="AA658"/>
    </row>
    <row r="659" spans="1:27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 s="237"/>
      <c r="Q659" s="237"/>
      <c r="R659" s="237"/>
      <c r="S659" s="237"/>
      <c r="T659" s="237"/>
      <c r="U659" s="237"/>
      <c r="V659" s="237"/>
      <c r="W659"/>
      <c r="X659"/>
      <c r="Y659"/>
      <c r="Z659"/>
      <c r="AA659"/>
    </row>
    <row r="660" spans="1:27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 s="237"/>
      <c r="Q660" s="237"/>
      <c r="R660" s="237"/>
      <c r="S660" s="237"/>
      <c r="T660" s="237"/>
      <c r="U660" s="237"/>
      <c r="V660" s="237"/>
      <c r="W660"/>
      <c r="X660"/>
      <c r="Y660"/>
      <c r="Z660"/>
      <c r="AA660"/>
    </row>
    <row r="661" spans="1:27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 s="237"/>
      <c r="Q661" s="237"/>
      <c r="R661" s="237"/>
      <c r="S661" s="237"/>
      <c r="T661" s="237"/>
      <c r="U661" s="237"/>
      <c r="V661" s="237"/>
      <c r="W661"/>
      <c r="X661"/>
      <c r="Y661"/>
      <c r="Z661"/>
      <c r="AA661"/>
    </row>
    <row r="662" spans="1:27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 s="237"/>
      <c r="Q662" s="237"/>
      <c r="R662" s="237"/>
      <c r="S662" s="237"/>
      <c r="T662" s="237"/>
      <c r="U662" s="237"/>
      <c r="V662" s="237"/>
      <c r="W662"/>
      <c r="X662"/>
      <c r="Y662"/>
      <c r="Z662"/>
      <c r="AA662"/>
    </row>
    <row r="663" spans="1:27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 s="237"/>
      <c r="Q663" s="237"/>
      <c r="R663" s="237"/>
      <c r="S663" s="237"/>
      <c r="T663" s="237"/>
      <c r="U663" s="237"/>
      <c r="V663" s="237"/>
      <c r="W663"/>
      <c r="X663"/>
      <c r="Y663"/>
      <c r="Z663"/>
      <c r="AA663"/>
    </row>
    <row r="664" spans="1:27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 s="237"/>
      <c r="Q664" s="237"/>
      <c r="R664" s="237"/>
      <c r="S664" s="237"/>
      <c r="T664" s="237"/>
      <c r="U664" s="237"/>
      <c r="V664" s="237"/>
      <c r="W664"/>
      <c r="X664"/>
      <c r="Y664"/>
      <c r="Z664"/>
      <c r="AA664"/>
    </row>
    <row r="665" spans="1:27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 s="237"/>
      <c r="Q665" s="237"/>
      <c r="R665" s="237"/>
      <c r="S665" s="237"/>
      <c r="T665" s="237"/>
      <c r="U665" s="237"/>
      <c r="V665" s="237"/>
      <c r="W665"/>
      <c r="X665"/>
      <c r="Y665"/>
      <c r="Z665"/>
      <c r="AA665"/>
    </row>
    <row r="666" spans="1:27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 s="237"/>
      <c r="Q666" s="237"/>
      <c r="R666" s="237"/>
      <c r="S666" s="237"/>
      <c r="T666" s="237"/>
      <c r="U666" s="237"/>
      <c r="V666" s="237"/>
      <c r="W666"/>
      <c r="X666"/>
      <c r="Y666"/>
      <c r="Z666"/>
      <c r="AA666"/>
    </row>
    <row r="667" spans="1:27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 s="237"/>
      <c r="Q667" s="237"/>
      <c r="R667" s="237"/>
      <c r="S667" s="237"/>
      <c r="T667" s="237"/>
      <c r="U667" s="237"/>
      <c r="V667" s="237"/>
      <c r="W667"/>
      <c r="X667"/>
      <c r="Y667"/>
      <c r="Z667"/>
      <c r="AA667"/>
    </row>
    <row r="668" spans="1:27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 s="237"/>
      <c r="Q668" s="237"/>
      <c r="R668" s="237"/>
      <c r="S668" s="237"/>
      <c r="T668" s="237"/>
      <c r="U668" s="237"/>
      <c r="V668" s="237"/>
      <c r="W668"/>
      <c r="X668"/>
      <c r="Y668"/>
      <c r="Z668"/>
      <c r="AA668"/>
    </row>
    <row r="669" spans="1:27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 s="237"/>
      <c r="Q669" s="237"/>
      <c r="R669" s="237"/>
      <c r="S669" s="237"/>
      <c r="T669" s="237"/>
      <c r="U669" s="237"/>
      <c r="V669" s="237"/>
      <c r="W669"/>
      <c r="X669"/>
      <c r="Y669"/>
      <c r="Z669"/>
      <c r="AA669"/>
    </row>
    <row r="670" spans="1:27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 s="237"/>
      <c r="Q670" s="237"/>
      <c r="R670" s="237"/>
      <c r="S670" s="237"/>
      <c r="T670" s="237"/>
      <c r="U670" s="237"/>
      <c r="V670" s="237"/>
      <c r="W670"/>
      <c r="X670"/>
      <c r="Y670"/>
      <c r="Z670"/>
      <c r="AA670"/>
    </row>
    <row r="671" spans="1:27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 s="237"/>
      <c r="Q671" s="237"/>
      <c r="R671" s="237"/>
      <c r="S671" s="237"/>
      <c r="T671" s="237"/>
      <c r="U671" s="237"/>
      <c r="V671" s="237"/>
      <c r="W671"/>
      <c r="X671"/>
      <c r="Y671"/>
      <c r="Z671"/>
      <c r="AA671"/>
    </row>
    <row r="672" spans="1:27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 s="237"/>
      <c r="Q672" s="237"/>
      <c r="R672" s="237"/>
      <c r="S672" s="237"/>
      <c r="T672" s="237"/>
      <c r="U672" s="237"/>
      <c r="V672" s="237"/>
      <c r="W672"/>
      <c r="X672"/>
      <c r="Y672"/>
      <c r="Z672"/>
      <c r="AA672"/>
    </row>
    <row r="673" spans="1:27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 s="237"/>
      <c r="Q673" s="237"/>
      <c r="R673" s="237"/>
      <c r="S673" s="237"/>
      <c r="T673" s="237"/>
      <c r="U673" s="237"/>
      <c r="V673" s="237"/>
      <c r="W673"/>
      <c r="X673"/>
      <c r="Y673"/>
      <c r="Z673"/>
      <c r="AA673"/>
    </row>
    <row r="674" spans="1:27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 s="237"/>
      <c r="Q674" s="237"/>
      <c r="R674" s="237"/>
      <c r="S674" s="237"/>
      <c r="T674" s="237"/>
      <c r="U674" s="237"/>
      <c r="V674" s="237"/>
      <c r="W674"/>
      <c r="X674"/>
      <c r="Y674"/>
      <c r="Z674"/>
      <c r="AA674"/>
    </row>
    <row r="675" spans="1:27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 s="237"/>
      <c r="Q675" s="237"/>
      <c r="R675" s="237"/>
      <c r="S675" s="237"/>
      <c r="T675" s="237"/>
      <c r="U675" s="237"/>
      <c r="V675" s="237"/>
      <c r="W675"/>
      <c r="X675"/>
      <c r="Y675"/>
      <c r="Z675"/>
      <c r="AA675"/>
    </row>
    <row r="676" spans="1:27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 s="237"/>
      <c r="Q676" s="237"/>
      <c r="R676" s="237"/>
      <c r="S676" s="237"/>
      <c r="T676" s="237"/>
      <c r="U676" s="237"/>
      <c r="V676" s="237"/>
      <c r="W676"/>
      <c r="X676"/>
      <c r="Y676"/>
      <c r="Z676"/>
      <c r="AA676"/>
    </row>
    <row r="677" spans="1:27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 s="237"/>
      <c r="Q677" s="237"/>
      <c r="R677" s="237"/>
      <c r="S677" s="237"/>
      <c r="T677" s="237"/>
      <c r="U677" s="237"/>
      <c r="V677" s="237"/>
      <c r="W677"/>
      <c r="X677"/>
      <c r="Y677"/>
      <c r="Z677"/>
      <c r="AA677"/>
    </row>
    <row r="678" spans="1:27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 s="237"/>
      <c r="Q678" s="237"/>
      <c r="R678" s="237"/>
      <c r="S678" s="237"/>
      <c r="T678" s="237"/>
      <c r="U678" s="237"/>
      <c r="V678" s="237"/>
      <c r="W678"/>
      <c r="X678"/>
      <c r="Y678"/>
      <c r="Z678"/>
      <c r="AA678"/>
    </row>
    <row r="679" spans="1:27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 s="237"/>
      <c r="Q679" s="237"/>
      <c r="R679" s="237"/>
      <c r="S679" s="237"/>
      <c r="T679" s="237"/>
      <c r="U679" s="237"/>
      <c r="V679" s="237"/>
      <c r="W679"/>
      <c r="X679"/>
      <c r="Y679"/>
      <c r="Z679"/>
      <c r="AA679"/>
    </row>
    <row r="680" spans="1:27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 s="237"/>
      <c r="Q680" s="237"/>
      <c r="R680" s="237"/>
      <c r="S680" s="237"/>
      <c r="T680" s="237"/>
      <c r="U680" s="237"/>
      <c r="V680" s="237"/>
      <c r="W680"/>
      <c r="X680"/>
      <c r="Y680"/>
      <c r="Z680"/>
      <c r="AA680"/>
    </row>
    <row r="681" spans="1:27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 s="237"/>
      <c r="Q681" s="237"/>
      <c r="R681" s="237"/>
      <c r="S681" s="237"/>
      <c r="T681" s="237"/>
      <c r="U681" s="237"/>
      <c r="V681" s="237"/>
      <c r="W681"/>
      <c r="X681"/>
      <c r="Y681"/>
      <c r="Z681"/>
      <c r="AA681"/>
    </row>
    <row r="682" spans="1:27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 s="237"/>
      <c r="Q682" s="237"/>
      <c r="R682" s="237"/>
      <c r="S682" s="237"/>
      <c r="T682" s="237"/>
      <c r="U682" s="237"/>
      <c r="V682" s="237"/>
      <c r="W682"/>
      <c r="X682"/>
      <c r="Y682"/>
      <c r="Z682"/>
      <c r="AA682"/>
    </row>
    <row r="683" spans="1:27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 s="237"/>
      <c r="Q683" s="237"/>
      <c r="R683" s="237"/>
      <c r="S683" s="237"/>
      <c r="T683" s="237"/>
      <c r="U683" s="237"/>
      <c r="V683" s="237"/>
      <c r="W683"/>
      <c r="X683"/>
      <c r="Y683"/>
      <c r="Z683"/>
      <c r="AA683"/>
    </row>
    <row r="684" spans="1:27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 s="237"/>
      <c r="Q684" s="237"/>
      <c r="R684" s="237"/>
      <c r="S684" s="237"/>
      <c r="T684" s="237"/>
      <c r="U684" s="237"/>
      <c r="V684" s="237"/>
      <c r="W684"/>
      <c r="X684"/>
      <c r="Y684"/>
      <c r="Z684"/>
      <c r="AA684"/>
    </row>
    <row r="685" spans="1:27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 s="237"/>
      <c r="Q685" s="237"/>
      <c r="R685" s="237"/>
      <c r="S685" s="237"/>
      <c r="T685" s="237"/>
      <c r="U685" s="237"/>
      <c r="V685" s="237"/>
      <c r="W685"/>
      <c r="X685"/>
      <c r="Y685"/>
      <c r="Z685"/>
      <c r="AA685"/>
    </row>
    <row r="686" spans="1:27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 s="237"/>
      <c r="Q686" s="237"/>
      <c r="R686" s="237"/>
      <c r="S686" s="237"/>
      <c r="T686" s="237"/>
      <c r="U686" s="237"/>
      <c r="V686" s="237"/>
      <c r="W686"/>
      <c r="X686"/>
      <c r="Y686"/>
      <c r="Z686"/>
      <c r="AA686"/>
    </row>
    <row r="687" spans="1:27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 s="237"/>
      <c r="Q687" s="237"/>
      <c r="R687" s="237"/>
      <c r="S687" s="237"/>
      <c r="T687" s="237"/>
      <c r="U687" s="237"/>
      <c r="V687" s="237"/>
      <c r="W687"/>
      <c r="X687"/>
      <c r="Y687"/>
      <c r="Z687"/>
      <c r="AA687"/>
    </row>
    <row r="688" spans="1:27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 s="237"/>
      <c r="Q688" s="237"/>
      <c r="R688" s="237"/>
      <c r="S688" s="237"/>
      <c r="T688" s="237"/>
      <c r="U688" s="237"/>
      <c r="V688" s="237"/>
      <c r="W688"/>
      <c r="X688"/>
      <c r="Y688"/>
      <c r="Z688"/>
      <c r="AA688"/>
    </row>
    <row r="689" spans="1:27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 s="237"/>
      <c r="Q689" s="237"/>
      <c r="R689" s="237"/>
      <c r="S689" s="237"/>
      <c r="T689" s="237"/>
      <c r="U689" s="237"/>
      <c r="V689" s="237"/>
      <c r="W689"/>
      <c r="X689"/>
      <c r="Y689"/>
      <c r="Z689"/>
      <c r="AA689"/>
    </row>
    <row r="690" spans="1:27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 s="237"/>
      <c r="Q690" s="237"/>
      <c r="R690" s="237"/>
      <c r="S690" s="237"/>
      <c r="T690" s="237"/>
      <c r="U690" s="237"/>
      <c r="V690" s="237"/>
      <c r="W690"/>
      <c r="X690"/>
      <c r="Y690"/>
      <c r="Z690"/>
      <c r="AA690"/>
    </row>
    <row r="691" spans="1:27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 s="237"/>
      <c r="Q691" s="237"/>
      <c r="R691" s="237"/>
      <c r="S691" s="237"/>
      <c r="T691" s="237"/>
      <c r="U691" s="237"/>
      <c r="V691" s="237"/>
      <c r="W691"/>
      <c r="X691"/>
      <c r="Y691"/>
      <c r="Z691"/>
      <c r="AA691"/>
    </row>
    <row r="692" spans="1:27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 s="237"/>
      <c r="Q692" s="237"/>
      <c r="R692" s="237"/>
      <c r="S692" s="237"/>
      <c r="T692" s="237"/>
      <c r="U692" s="237"/>
      <c r="V692" s="237"/>
      <c r="W692"/>
      <c r="X692"/>
      <c r="Y692"/>
      <c r="Z692"/>
      <c r="AA692"/>
    </row>
    <row r="693" spans="1:27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 s="237"/>
      <c r="Q693" s="237"/>
      <c r="R693" s="237"/>
      <c r="S693" s="237"/>
      <c r="T693" s="237"/>
      <c r="U693" s="237"/>
      <c r="V693" s="237"/>
      <c r="W693"/>
      <c r="X693"/>
      <c r="Y693"/>
      <c r="Z693"/>
      <c r="AA693"/>
    </row>
    <row r="694" spans="1:27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 s="237"/>
      <c r="Q694" s="237"/>
      <c r="R694" s="237"/>
      <c r="S694" s="237"/>
      <c r="T694" s="237"/>
      <c r="U694" s="237"/>
      <c r="V694" s="237"/>
      <c r="W694"/>
      <c r="X694"/>
      <c r="Y694"/>
      <c r="Z694"/>
      <c r="AA694"/>
    </row>
    <row r="695" spans="1:27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 s="237"/>
      <c r="Q695" s="237"/>
      <c r="R695" s="237"/>
      <c r="S695" s="237"/>
      <c r="T695" s="237"/>
      <c r="U695" s="237"/>
      <c r="V695" s="237"/>
      <c r="W695"/>
      <c r="X695"/>
      <c r="Y695"/>
      <c r="Z695"/>
      <c r="AA695"/>
    </row>
    <row r="696" spans="1:27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 s="237"/>
      <c r="Q696" s="237"/>
      <c r="R696" s="237"/>
      <c r="S696" s="237"/>
      <c r="T696" s="237"/>
      <c r="U696" s="237"/>
      <c r="V696" s="237"/>
      <c r="W696"/>
      <c r="X696"/>
      <c r="Y696"/>
      <c r="Z696"/>
      <c r="AA696"/>
    </row>
    <row r="697" spans="1:27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 s="237"/>
      <c r="Q697" s="237"/>
      <c r="R697" s="237"/>
      <c r="S697" s="237"/>
      <c r="T697" s="237"/>
      <c r="U697" s="237"/>
      <c r="V697" s="237"/>
      <c r="W697"/>
      <c r="X697"/>
      <c r="Y697"/>
      <c r="Z697"/>
      <c r="AA697"/>
    </row>
    <row r="698" spans="1:27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 s="237"/>
      <c r="Q698" s="237"/>
      <c r="R698" s="237"/>
      <c r="S698" s="237"/>
      <c r="T698" s="237"/>
      <c r="U698" s="237"/>
      <c r="V698" s="237"/>
      <c r="W698"/>
      <c r="X698"/>
      <c r="Y698"/>
      <c r="Z698"/>
      <c r="AA698"/>
    </row>
    <row r="699" spans="1:27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 s="237"/>
      <c r="Q699" s="237"/>
      <c r="R699" s="237"/>
      <c r="S699" s="237"/>
      <c r="T699" s="237"/>
      <c r="U699" s="237"/>
      <c r="V699" s="237"/>
      <c r="W699"/>
      <c r="X699"/>
      <c r="Y699"/>
      <c r="Z699"/>
      <c r="AA699"/>
    </row>
    <row r="700" spans="1:27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 s="237"/>
      <c r="Q700" s="237"/>
      <c r="R700" s="237"/>
      <c r="S700" s="237"/>
      <c r="T700" s="237"/>
      <c r="U700" s="237"/>
      <c r="V700" s="237"/>
      <c r="W700"/>
      <c r="X700"/>
      <c r="Y700"/>
      <c r="Z700"/>
      <c r="AA700"/>
    </row>
    <row r="701" spans="1:27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 s="237"/>
      <c r="Q701" s="237"/>
      <c r="R701" s="237"/>
      <c r="S701" s="237"/>
      <c r="T701" s="237"/>
      <c r="U701" s="237"/>
      <c r="V701" s="237"/>
      <c r="W701"/>
      <c r="X701"/>
      <c r="Y701"/>
      <c r="Z701"/>
      <c r="AA701"/>
    </row>
    <row r="702" spans="1:27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 s="237"/>
      <c r="Q702" s="237"/>
      <c r="R702" s="237"/>
      <c r="S702" s="237"/>
      <c r="T702" s="237"/>
      <c r="U702" s="237"/>
      <c r="V702" s="237"/>
      <c r="W702"/>
      <c r="X702"/>
      <c r="Y702"/>
      <c r="Z702"/>
      <c r="AA702"/>
    </row>
    <row r="703" spans="1:27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 s="237"/>
      <c r="Q703" s="237"/>
      <c r="R703" s="237"/>
      <c r="S703" s="237"/>
      <c r="T703" s="237"/>
      <c r="U703" s="237"/>
      <c r="V703" s="237"/>
      <c r="W703"/>
      <c r="X703"/>
      <c r="Y703"/>
      <c r="Z703"/>
      <c r="AA703"/>
    </row>
    <row r="704" spans="1:27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 s="237"/>
      <c r="Q704" s="237"/>
      <c r="R704" s="237"/>
      <c r="S704" s="237"/>
      <c r="T704" s="237"/>
      <c r="U704" s="237"/>
      <c r="V704" s="237"/>
      <c r="W704"/>
      <c r="X704"/>
      <c r="Y704"/>
      <c r="Z704"/>
      <c r="AA704"/>
    </row>
    <row r="705" spans="1:27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 s="237"/>
      <c r="Q705" s="237"/>
      <c r="R705" s="237"/>
      <c r="S705" s="237"/>
      <c r="T705" s="237"/>
      <c r="U705" s="237"/>
      <c r="V705" s="237"/>
      <c r="W705"/>
      <c r="X705"/>
      <c r="Y705"/>
      <c r="Z705"/>
      <c r="AA705"/>
    </row>
    <row r="706" spans="1:27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 s="237"/>
      <c r="Q706" s="237"/>
      <c r="R706" s="237"/>
      <c r="S706" s="237"/>
      <c r="T706" s="237"/>
      <c r="U706" s="237"/>
      <c r="V706" s="237"/>
      <c r="W706"/>
      <c r="X706"/>
      <c r="Y706"/>
      <c r="Z706"/>
      <c r="AA706"/>
    </row>
    <row r="707" spans="1:27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 s="237"/>
      <c r="Q707" s="237"/>
      <c r="R707" s="237"/>
      <c r="S707" s="237"/>
      <c r="T707" s="237"/>
      <c r="U707" s="237"/>
      <c r="V707" s="237"/>
      <c r="W707"/>
      <c r="X707"/>
      <c r="Y707"/>
      <c r="Z707"/>
      <c r="AA707"/>
    </row>
    <row r="708" spans="1:27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 s="237"/>
      <c r="Q708" s="237"/>
      <c r="R708" s="237"/>
      <c r="S708" s="237"/>
      <c r="T708" s="237"/>
      <c r="U708" s="237"/>
      <c r="V708" s="237"/>
      <c r="W708"/>
      <c r="X708"/>
      <c r="Y708"/>
      <c r="Z708"/>
      <c r="AA708"/>
    </row>
    <row r="709" spans="1:27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 s="237"/>
      <c r="Q709" s="237"/>
      <c r="R709" s="237"/>
      <c r="S709" s="237"/>
      <c r="T709" s="237"/>
      <c r="U709" s="237"/>
      <c r="V709" s="237"/>
      <c r="W709"/>
      <c r="X709"/>
      <c r="Y709"/>
      <c r="Z709"/>
      <c r="AA709"/>
    </row>
    <row r="710" spans="1:27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 s="237"/>
      <c r="Q710" s="237"/>
      <c r="R710" s="237"/>
      <c r="S710" s="237"/>
      <c r="T710" s="237"/>
      <c r="U710" s="237"/>
      <c r="V710" s="237"/>
      <c r="W710"/>
      <c r="X710"/>
      <c r="Y710"/>
      <c r="Z710"/>
      <c r="AA710"/>
    </row>
    <row r="711" spans="1:27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 s="237"/>
      <c r="Q711" s="237"/>
      <c r="R711" s="237"/>
      <c r="S711" s="237"/>
      <c r="T711" s="237"/>
      <c r="U711" s="237"/>
      <c r="V711" s="237"/>
      <c r="W711"/>
      <c r="X711"/>
      <c r="Y711"/>
      <c r="Z711"/>
      <c r="AA711"/>
    </row>
    <row r="712" spans="1:27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 s="237"/>
      <c r="Q712" s="237"/>
      <c r="R712" s="237"/>
      <c r="S712" s="237"/>
      <c r="T712" s="237"/>
      <c r="U712" s="237"/>
      <c r="V712" s="237"/>
      <c r="W712"/>
      <c r="X712"/>
      <c r="Y712"/>
      <c r="Z712"/>
      <c r="AA712"/>
    </row>
    <row r="713" spans="1:27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 s="237"/>
      <c r="Q713" s="237"/>
      <c r="R713" s="237"/>
      <c r="S713" s="237"/>
      <c r="T713" s="237"/>
      <c r="U713" s="237"/>
      <c r="V713" s="237"/>
      <c r="W713"/>
      <c r="X713"/>
      <c r="Y713"/>
      <c r="Z713"/>
      <c r="AA713"/>
    </row>
    <row r="714" spans="1:27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 s="237"/>
      <c r="Q714" s="237"/>
      <c r="R714" s="237"/>
      <c r="S714" s="237"/>
      <c r="T714" s="237"/>
      <c r="U714" s="237"/>
      <c r="V714" s="237"/>
      <c r="W714"/>
      <c r="X714"/>
      <c r="Y714"/>
      <c r="Z714"/>
      <c r="AA714"/>
    </row>
    <row r="715" spans="1:27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 s="237"/>
      <c r="Q715" s="237"/>
      <c r="R715" s="237"/>
      <c r="S715" s="237"/>
      <c r="T715" s="237"/>
      <c r="U715" s="237"/>
      <c r="V715" s="237"/>
      <c r="W715"/>
      <c r="X715"/>
      <c r="Y715"/>
      <c r="Z715"/>
      <c r="AA715"/>
    </row>
    <row r="716" spans="1:27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 s="237"/>
      <c r="Q716" s="237"/>
      <c r="R716" s="237"/>
      <c r="S716" s="237"/>
      <c r="T716" s="237"/>
      <c r="U716" s="237"/>
      <c r="V716" s="237"/>
      <c r="W716"/>
      <c r="X716"/>
      <c r="Y716"/>
      <c r="Z716"/>
      <c r="AA716"/>
    </row>
    <row r="717" spans="1:27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 s="237"/>
      <c r="Q717" s="237"/>
      <c r="R717" s="237"/>
      <c r="S717" s="237"/>
      <c r="T717" s="237"/>
      <c r="U717" s="237"/>
      <c r="V717" s="237"/>
      <c r="W717"/>
      <c r="X717"/>
      <c r="Y717"/>
      <c r="Z717"/>
      <c r="AA717"/>
    </row>
    <row r="718" spans="1:27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 s="237"/>
      <c r="Q718" s="237"/>
      <c r="R718" s="237"/>
      <c r="S718" s="237"/>
      <c r="T718" s="237"/>
      <c r="U718" s="237"/>
      <c r="V718" s="237"/>
      <c r="W718"/>
      <c r="X718"/>
      <c r="Y718"/>
      <c r="Z718"/>
      <c r="AA718"/>
    </row>
    <row r="719" spans="1:27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 s="237"/>
      <c r="Q719" s="237"/>
      <c r="R719" s="237"/>
      <c r="S719" s="237"/>
      <c r="T719" s="237"/>
      <c r="U719" s="237"/>
      <c r="V719" s="237"/>
      <c r="W719"/>
      <c r="X719"/>
      <c r="Y719"/>
      <c r="Z719"/>
      <c r="AA719"/>
    </row>
    <row r="720" spans="1:27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 s="237"/>
      <c r="Q720" s="237"/>
      <c r="R720" s="237"/>
      <c r="S720" s="237"/>
      <c r="T720" s="237"/>
      <c r="U720" s="237"/>
      <c r="V720" s="237"/>
      <c r="W720"/>
      <c r="X720"/>
      <c r="Y720"/>
      <c r="Z720"/>
      <c r="AA720"/>
    </row>
    <row r="721" spans="1:27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 s="237"/>
      <c r="Q721" s="237"/>
      <c r="R721" s="237"/>
      <c r="S721" s="237"/>
      <c r="T721" s="237"/>
      <c r="U721" s="237"/>
      <c r="V721" s="237"/>
      <c r="W721"/>
      <c r="X721"/>
      <c r="Y721"/>
      <c r="Z721"/>
      <c r="AA721"/>
    </row>
    <row r="722" spans="1:27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 s="237"/>
      <c r="Q722" s="237"/>
      <c r="R722" s="237"/>
      <c r="S722" s="237"/>
      <c r="T722" s="237"/>
      <c r="U722" s="237"/>
      <c r="V722" s="237"/>
      <c r="W722"/>
      <c r="X722"/>
      <c r="Y722"/>
      <c r="Z722"/>
      <c r="AA722"/>
    </row>
    <row r="723" spans="1:27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 s="237"/>
      <c r="Q723" s="237"/>
      <c r="R723" s="237"/>
      <c r="S723" s="237"/>
      <c r="T723" s="237"/>
      <c r="U723" s="237"/>
      <c r="V723" s="237"/>
      <c r="W723"/>
      <c r="X723"/>
      <c r="Y723"/>
      <c r="Z723"/>
      <c r="AA723"/>
    </row>
    <row r="724" spans="1:27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 s="237"/>
      <c r="Q724" s="237"/>
      <c r="R724" s="237"/>
      <c r="S724" s="237"/>
      <c r="T724" s="237"/>
      <c r="U724" s="237"/>
      <c r="V724" s="237"/>
      <c r="W724"/>
      <c r="X724"/>
      <c r="Y724"/>
      <c r="Z724"/>
      <c r="AA724"/>
    </row>
    <row r="725" spans="1:27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 s="237"/>
      <c r="Q725" s="237"/>
      <c r="R725" s="237"/>
      <c r="S725" s="237"/>
      <c r="T725" s="237"/>
      <c r="U725" s="237"/>
      <c r="V725" s="237"/>
      <c r="W725"/>
      <c r="X725"/>
      <c r="Y725"/>
      <c r="Z725"/>
      <c r="AA725"/>
    </row>
    <row r="726" spans="1:27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 s="237"/>
      <c r="Q726" s="237"/>
      <c r="R726" s="237"/>
      <c r="S726" s="237"/>
      <c r="T726" s="237"/>
      <c r="U726" s="237"/>
      <c r="V726" s="237"/>
      <c r="W726"/>
      <c r="X726"/>
      <c r="Y726"/>
      <c r="Z726"/>
      <c r="AA726"/>
    </row>
    <row r="727" spans="1:27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 s="237"/>
      <c r="Q727" s="237"/>
      <c r="R727" s="237"/>
      <c r="S727" s="237"/>
      <c r="T727" s="237"/>
      <c r="U727" s="237"/>
      <c r="V727" s="237"/>
      <c r="W727"/>
      <c r="X727"/>
      <c r="Y727"/>
      <c r="Z727"/>
      <c r="AA727"/>
    </row>
    <row r="728" spans="1:27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 s="237"/>
      <c r="Q728" s="237"/>
      <c r="R728" s="237"/>
      <c r="S728" s="237"/>
      <c r="T728" s="237"/>
      <c r="U728" s="237"/>
      <c r="V728" s="237"/>
      <c r="W728"/>
      <c r="X728"/>
      <c r="Y728"/>
      <c r="Z728"/>
      <c r="AA728"/>
    </row>
    <row r="729" spans="1:27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 s="237"/>
      <c r="Q729" s="237"/>
      <c r="R729" s="237"/>
      <c r="S729" s="237"/>
      <c r="T729" s="237"/>
      <c r="U729" s="237"/>
      <c r="V729" s="237"/>
      <c r="W729"/>
      <c r="X729"/>
      <c r="Y729"/>
      <c r="Z729"/>
      <c r="AA729"/>
    </row>
    <row r="730" spans="1:27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 s="237"/>
      <c r="Q730" s="237"/>
      <c r="R730" s="237"/>
      <c r="S730" s="237"/>
      <c r="T730" s="237"/>
      <c r="U730" s="237"/>
      <c r="V730" s="237"/>
      <c r="W730"/>
      <c r="X730"/>
      <c r="Y730"/>
      <c r="Z730"/>
      <c r="AA730"/>
    </row>
    <row r="731" spans="1:27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 s="237"/>
      <c r="Q731" s="237"/>
      <c r="R731" s="237"/>
      <c r="S731" s="237"/>
      <c r="T731" s="237"/>
      <c r="U731" s="237"/>
      <c r="V731" s="237"/>
      <c r="W731"/>
      <c r="X731"/>
      <c r="Y731"/>
      <c r="Z731"/>
      <c r="AA731"/>
    </row>
    <row r="732" spans="1:27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 s="237"/>
      <c r="Q732" s="237"/>
      <c r="R732" s="237"/>
      <c r="S732" s="237"/>
      <c r="T732" s="237"/>
      <c r="U732" s="237"/>
      <c r="V732" s="237"/>
      <c r="W732"/>
      <c r="X732"/>
      <c r="Y732"/>
      <c r="Z732"/>
      <c r="AA732"/>
    </row>
    <row r="733" spans="1:27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 s="237"/>
      <c r="Q733" s="237"/>
      <c r="R733" s="237"/>
      <c r="S733" s="237"/>
      <c r="T733" s="237"/>
      <c r="U733" s="237"/>
      <c r="V733" s="237"/>
      <c r="W733"/>
      <c r="X733"/>
      <c r="Y733"/>
      <c r="Z733"/>
      <c r="AA733"/>
    </row>
    <row r="734" spans="1:27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 s="237"/>
      <c r="Q734" s="237"/>
      <c r="R734" s="237"/>
      <c r="S734" s="237"/>
      <c r="T734" s="237"/>
      <c r="U734" s="237"/>
      <c r="V734" s="237"/>
      <c r="W734"/>
      <c r="X734"/>
      <c r="Y734"/>
      <c r="Z734"/>
      <c r="AA734"/>
    </row>
    <row r="735" spans="1:27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 s="237"/>
      <c r="Q735" s="237"/>
      <c r="R735" s="237"/>
      <c r="S735" s="237"/>
      <c r="T735" s="237"/>
      <c r="U735" s="237"/>
      <c r="V735" s="237"/>
      <c r="W735"/>
      <c r="X735"/>
      <c r="Y735"/>
      <c r="Z735"/>
      <c r="AA735"/>
    </row>
    <row r="736" spans="1:27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 s="237"/>
      <c r="Q736" s="237"/>
      <c r="R736" s="237"/>
      <c r="S736" s="237"/>
      <c r="T736" s="237"/>
      <c r="U736" s="237"/>
      <c r="V736" s="237"/>
      <c r="W736"/>
      <c r="X736"/>
      <c r="Y736"/>
      <c r="Z736"/>
      <c r="AA736"/>
    </row>
    <row r="737" spans="1:27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 s="237"/>
      <c r="Q737" s="237"/>
      <c r="R737" s="237"/>
      <c r="S737" s="237"/>
      <c r="T737" s="237"/>
      <c r="U737" s="237"/>
      <c r="V737" s="237"/>
      <c r="W737"/>
      <c r="X737"/>
      <c r="Y737"/>
      <c r="Z737"/>
      <c r="AA737"/>
    </row>
    <row r="738" spans="1:27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 s="237"/>
      <c r="Q738" s="237"/>
      <c r="R738" s="237"/>
      <c r="S738" s="237"/>
      <c r="T738" s="237"/>
      <c r="U738" s="237"/>
      <c r="V738" s="237"/>
      <c r="W738"/>
      <c r="X738"/>
      <c r="Y738"/>
      <c r="Z738"/>
      <c r="AA738"/>
    </row>
    <row r="739" spans="1:27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 s="237"/>
      <c r="Q739" s="237"/>
      <c r="R739" s="237"/>
      <c r="S739" s="237"/>
      <c r="T739" s="237"/>
      <c r="U739" s="237"/>
      <c r="V739" s="237"/>
      <c r="W739"/>
      <c r="X739"/>
      <c r="Y739"/>
      <c r="Z739"/>
      <c r="AA739"/>
    </row>
    <row r="740" spans="1:27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 s="237"/>
      <c r="Q740" s="237"/>
      <c r="R740" s="237"/>
      <c r="S740" s="237"/>
      <c r="T740" s="237"/>
      <c r="U740" s="237"/>
      <c r="V740" s="237"/>
      <c r="W740"/>
      <c r="X740"/>
      <c r="Y740"/>
      <c r="Z740"/>
      <c r="AA740"/>
    </row>
    <row r="741" spans="1:27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 s="237"/>
      <c r="Q741" s="237"/>
      <c r="R741" s="237"/>
      <c r="S741" s="237"/>
      <c r="T741" s="237"/>
      <c r="U741" s="237"/>
      <c r="V741" s="237"/>
      <c r="W741"/>
      <c r="X741"/>
      <c r="Y741"/>
      <c r="Z741"/>
      <c r="AA741"/>
    </row>
    <row r="742" spans="1:27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 s="237"/>
      <c r="Q742" s="237"/>
      <c r="R742" s="237"/>
      <c r="S742" s="237"/>
      <c r="T742" s="237"/>
      <c r="U742" s="237"/>
      <c r="V742" s="237"/>
      <c r="W742"/>
      <c r="X742"/>
      <c r="Y742"/>
      <c r="Z742"/>
      <c r="AA742"/>
    </row>
    <row r="743" spans="1:27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 s="237"/>
      <c r="Q743" s="237"/>
      <c r="R743" s="237"/>
      <c r="S743" s="237"/>
      <c r="T743" s="237"/>
      <c r="U743" s="237"/>
      <c r="V743" s="237"/>
      <c r="W743"/>
      <c r="X743"/>
      <c r="Y743"/>
      <c r="Z743"/>
      <c r="AA743"/>
    </row>
    <row r="744" spans="1:27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 s="237"/>
      <c r="Q744" s="237"/>
      <c r="R744" s="237"/>
      <c r="S744" s="237"/>
      <c r="T744" s="237"/>
      <c r="U744" s="237"/>
      <c r="V744" s="237"/>
      <c r="W744"/>
      <c r="X744"/>
      <c r="Y744"/>
      <c r="Z744"/>
      <c r="AA744"/>
    </row>
    <row r="745" spans="1:27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 s="237"/>
      <c r="Q745" s="237"/>
      <c r="R745" s="237"/>
      <c r="S745" s="237"/>
      <c r="T745" s="237"/>
      <c r="U745" s="237"/>
      <c r="V745" s="237"/>
      <c r="W745"/>
      <c r="X745"/>
      <c r="Y745"/>
      <c r="Z745"/>
      <c r="AA745"/>
    </row>
    <row r="746" spans="1:27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 s="237"/>
      <c r="Q746" s="237"/>
      <c r="R746" s="237"/>
      <c r="S746" s="237"/>
      <c r="T746" s="237"/>
      <c r="U746" s="237"/>
      <c r="V746" s="237"/>
      <c r="W746"/>
      <c r="X746"/>
      <c r="Y746"/>
      <c r="Z746"/>
      <c r="AA746"/>
    </row>
    <row r="747" spans="1:27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 s="237"/>
      <c r="Q747" s="237"/>
      <c r="R747" s="237"/>
      <c r="S747" s="237"/>
      <c r="T747" s="237"/>
      <c r="U747" s="237"/>
      <c r="V747" s="237"/>
      <c r="W747"/>
      <c r="X747"/>
      <c r="Y747"/>
      <c r="Z747"/>
      <c r="AA747"/>
    </row>
    <row r="748" spans="1:27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 s="237"/>
      <c r="Q748" s="237"/>
      <c r="R748" s="237"/>
      <c r="S748" s="237"/>
      <c r="T748" s="237"/>
      <c r="U748" s="237"/>
      <c r="V748" s="237"/>
      <c r="W748"/>
      <c r="X748"/>
      <c r="Y748"/>
      <c r="Z748"/>
      <c r="AA748"/>
    </row>
    <row r="749" spans="1:27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 s="237"/>
      <c r="Q749" s="237"/>
      <c r="R749" s="237"/>
      <c r="S749" s="237"/>
      <c r="T749" s="237"/>
      <c r="U749" s="237"/>
      <c r="V749" s="237"/>
      <c r="W749"/>
      <c r="X749"/>
      <c r="Y749"/>
      <c r="Z749"/>
      <c r="AA749"/>
    </row>
    <row r="750" spans="1:27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 s="237"/>
      <c r="Q750" s="237"/>
      <c r="R750" s="237"/>
      <c r="S750" s="237"/>
      <c r="T750" s="237"/>
      <c r="U750" s="237"/>
      <c r="V750" s="237"/>
      <c r="W750"/>
      <c r="X750"/>
      <c r="Y750"/>
      <c r="Z750"/>
      <c r="AA750"/>
    </row>
    <row r="751" spans="1:27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 s="237"/>
      <c r="Q751" s="237"/>
      <c r="R751" s="237"/>
      <c r="S751" s="237"/>
      <c r="T751" s="237"/>
      <c r="U751" s="237"/>
      <c r="V751" s="237"/>
      <c r="W751"/>
      <c r="X751"/>
      <c r="Y751"/>
      <c r="Z751"/>
      <c r="AA751"/>
    </row>
    <row r="752" spans="1:27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 s="237"/>
      <c r="Q752" s="237"/>
      <c r="R752" s="237"/>
      <c r="S752" s="237"/>
      <c r="T752" s="237"/>
      <c r="U752" s="237"/>
      <c r="V752" s="237"/>
      <c r="W752"/>
      <c r="X752"/>
      <c r="Y752"/>
      <c r="Z752"/>
      <c r="AA752"/>
    </row>
    <row r="753" spans="1:27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 s="237"/>
      <c r="Q753" s="237"/>
      <c r="R753" s="237"/>
      <c r="S753" s="237"/>
      <c r="T753" s="237"/>
      <c r="U753" s="237"/>
      <c r="V753" s="237"/>
      <c r="W753"/>
      <c r="X753"/>
      <c r="Y753"/>
      <c r="Z753"/>
      <c r="AA753"/>
    </row>
    <row r="754" spans="1:27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 s="237"/>
      <c r="Q754" s="237"/>
      <c r="R754" s="237"/>
      <c r="S754" s="237"/>
      <c r="T754" s="237"/>
      <c r="U754" s="237"/>
      <c r="V754" s="237"/>
      <c r="W754"/>
      <c r="X754"/>
      <c r="Y754"/>
      <c r="Z754"/>
      <c r="AA754"/>
    </row>
    <row r="755" spans="1:27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 s="237"/>
      <c r="Q755" s="237"/>
      <c r="R755" s="237"/>
      <c r="S755" s="237"/>
      <c r="T755" s="237"/>
      <c r="U755" s="237"/>
      <c r="V755" s="237"/>
      <c r="W755"/>
      <c r="X755"/>
      <c r="Y755"/>
      <c r="Z755"/>
      <c r="AA755"/>
    </row>
    <row r="756" spans="1:27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 s="237"/>
      <c r="Q756" s="237"/>
      <c r="R756" s="237"/>
      <c r="S756" s="237"/>
      <c r="T756" s="237"/>
      <c r="U756" s="237"/>
      <c r="V756" s="237"/>
      <c r="W756"/>
      <c r="X756"/>
      <c r="Y756"/>
      <c r="Z756"/>
      <c r="AA756"/>
    </row>
    <row r="757" spans="1:27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 s="237"/>
      <c r="Q757" s="237"/>
      <c r="R757" s="237"/>
      <c r="S757" s="237"/>
      <c r="T757" s="237"/>
      <c r="U757" s="237"/>
      <c r="V757" s="237"/>
      <c r="W757"/>
      <c r="X757"/>
      <c r="Y757"/>
      <c r="Z757"/>
      <c r="AA757"/>
    </row>
    <row r="758" spans="1:27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 s="237"/>
      <c r="Q758" s="237"/>
      <c r="R758" s="237"/>
      <c r="S758" s="237"/>
      <c r="T758" s="237"/>
      <c r="U758" s="237"/>
      <c r="V758" s="237"/>
      <c r="W758"/>
      <c r="X758"/>
      <c r="Y758"/>
      <c r="Z758"/>
      <c r="AA758"/>
    </row>
    <row r="759" spans="1:27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 s="237"/>
      <c r="Q759" s="237"/>
      <c r="R759" s="237"/>
      <c r="S759" s="237"/>
      <c r="T759" s="237"/>
      <c r="U759" s="237"/>
      <c r="V759" s="237"/>
      <c r="W759"/>
      <c r="X759"/>
      <c r="Y759"/>
      <c r="Z759"/>
      <c r="AA759"/>
    </row>
    <row r="760" spans="1:27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 s="237"/>
      <c r="Q760" s="237"/>
      <c r="R760" s="237"/>
      <c r="S760" s="237"/>
      <c r="T760" s="237"/>
      <c r="U760" s="237"/>
      <c r="V760" s="237"/>
      <c r="W760"/>
      <c r="X760"/>
      <c r="Y760"/>
      <c r="Z760"/>
      <c r="AA760"/>
    </row>
    <row r="761" spans="1:27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 s="237"/>
      <c r="Q761" s="237"/>
      <c r="R761" s="237"/>
      <c r="S761" s="237"/>
      <c r="T761" s="237"/>
      <c r="U761" s="237"/>
      <c r="V761" s="237"/>
      <c r="W761"/>
      <c r="X761"/>
      <c r="Y761"/>
      <c r="Z761"/>
      <c r="AA761"/>
    </row>
    <row r="762" spans="1:27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 s="237"/>
      <c r="Q762" s="237"/>
      <c r="R762" s="237"/>
      <c r="S762" s="237"/>
      <c r="T762" s="237"/>
      <c r="U762" s="237"/>
      <c r="V762" s="237"/>
      <c r="W762"/>
      <c r="X762"/>
      <c r="Y762"/>
      <c r="Z762"/>
      <c r="AA762"/>
    </row>
    <row r="763" spans="1:27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 s="237"/>
      <c r="Q763" s="237"/>
      <c r="R763" s="237"/>
      <c r="S763" s="237"/>
      <c r="T763" s="237"/>
      <c r="U763" s="237"/>
      <c r="V763" s="237"/>
      <c r="W763"/>
      <c r="X763"/>
      <c r="Y763"/>
      <c r="Z763"/>
      <c r="AA763"/>
    </row>
    <row r="764" spans="1:27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 s="237"/>
      <c r="Q764" s="237"/>
      <c r="R764" s="237"/>
      <c r="S764" s="237"/>
      <c r="T764" s="237"/>
      <c r="U764" s="237"/>
      <c r="V764" s="237"/>
      <c r="W764"/>
      <c r="X764"/>
      <c r="Y764"/>
      <c r="Z764"/>
      <c r="AA764"/>
    </row>
    <row r="765" spans="1:27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 s="237"/>
      <c r="Q765" s="237"/>
      <c r="R765" s="237"/>
      <c r="S765" s="237"/>
      <c r="T765" s="237"/>
      <c r="U765" s="237"/>
      <c r="V765" s="237"/>
      <c r="W765"/>
      <c r="X765"/>
      <c r="Y765"/>
      <c r="Z765"/>
      <c r="AA765"/>
    </row>
    <row r="766" spans="1:27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 s="237"/>
      <c r="Q766" s="237"/>
      <c r="R766" s="237"/>
      <c r="S766" s="237"/>
      <c r="T766" s="237"/>
      <c r="U766" s="237"/>
      <c r="V766" s="237"/>
      <c r="W766"/>
      <c r="X766"/>
      <c r="Y766"/>
      <c r="Z766"/>
      <c r="AA766"/>
    </row>
    <row r="767" spans="1:27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 s="237"/>
      <c r="Q767" s="237"/>
      <c r="R767" s="237"/>
      <c r="S767" s="237"/>
      <c r="T767" s="237"/>
      <c r="U767" s="237"/>
      <c r="V767" s="237"/>
      <c r="W767"/>
      <c r="X767"/>
      <c r="Y767"/>
      <c r="Z767"/>
      <c r="AA767"/>
    </row>
    <row r="768" spans="1:27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 s="237"/>
      <c r="Q768" s="237"/>
      <c r="R768" s="237"/>
      <c r="S768" s="237"/>
      <c r="T768" s="237"/>
      <c r="U768" s="237"/>
      <c r="V768" s="237"/>
      <c r="W768"/>
      <c r="X768"/>
      <c r="Y768"/>
      <c r="Z768"/>
      <c r="AA768"/>
    </row>
    <row r="769" spans="1:27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 s="237"/>
      <c r="Q769" s="237"/>
      <c r="R769" s="237"/>
      <c r="S769" s="237"/>
      <c r="T769" s="237"/>
      <c r="U769" s="237"/>
      <c r="V769" s="237"/>
      <c r="W769"/>
      <c r="X769"/>
      <c r="Y769"/>
      <c r="Z769"/>
      <c r="AA769"/>
    </row>
    <row r="770" spans="1:27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 s="237"/>
      <c r="Q770" s="237"/>
      <c r="R770" s="237"/>
      <c r="S770" s="237"/>
      <c r="T770" s="237"/>
      <c r="U770" s="237"/>
      <c r="V770" s="237"/>
      <c r="W770"/>
      <c r="X770"/>
      <c r="Y770"/>
      <c r="Z770"/>
      <c r="AA770"/>
    </row>
    <row r="771" spans="1:27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 s="237"/>
      <c r="Q771" s="237"/>
      <c r="R771" s="237"/>
      <c r="S771" s="237"/>
      <c r="T771" s="237"/>
      <c r="U771" s="237"/>
      <c r="V771" s="237"/>
      <c r="W771"/>
      <c r="X771"/>
      <c r="Y771"/>
      <c r="Z771"/>
      <c r="AA771"/>
    </row>
    <row r="772" spans="1:27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 s="237"/>
      <c r="Q772" s="237"/>
      <c r="R772" s="237"/>
      <c r="S772" s="237"/>
      <c r="T772" s="237"/>
      <c r="U772" s="237"/>
      <c r="V772" s="237"/>
      <c r="W772"/>
      <c r="X772"/>
      <c r="Y772"/>
      <c r="Z772"/>
      <c r="AA772"/>
    </row>
    <row r="773" spans="1:27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 s="237"/>
      <c r="Q773" s="237"/>
      <c r="R773" s="237"/>
      <c r="S773" s="237"/>
      <c r="T773" s="237"/>
      <c r="U773" s="237"/>
      <c r="V773" s="237"/>
      <c r="W773"/>
      <c r="X773"/>
      <c r="Y773"/>
      <c r="Z773"/>
      <c r="AA773"/>
    </row>
    <row r="774" spans="1:27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 s="237"/>
      <c r="Q774" s="237"/>
      <c r="R774" s="237"/>
      <c r="S774" s="237"/>
      <c r="T774" s="237"/>
      <c r="U774" s="237"/>
      <c r="V774" s="237"/>
      <c r="W774"/>
      <c r="X774"/>
      <c r="Y774"/>
      <c r="Z774"/>
      <c r="AA774"/>
    </row>
    <row r="775" spans="1:27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 s="237"/>
      <c r="Q775" s="237"/>
      <c r="R775" s="237"/>
      <c r="S775" s="237"/>
      <c r="T775" s="237"/>
      <c r="U775" s="237"/>
      <c r="V775" s="237"/>
      <c r="W775"/>
      <c r="X775"/>
      <c r="Y775"/>
      <c r="Z775"/>
      <c r="AA775"/>
    </row>
    <row r="776" spans="1:27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 s="237"/>
      <c r="Q776" s="237"/>
      <c r="R776" s="237"/>
      <c r="S776" s="237"/>
      <c r="T776" s="237"/>
      <c r="U776" s="237"/>
      <c r="V776" s="237"/>
      <c r="W776"/>
      <c r="X776"/>
      <c r="Y776"/>
      <c r="Z776"/>
      <c r="AA776"/>
    </row>
    <row r="777" spans="1:27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 s="237"/>
      <c r="Q777" s="237"/>
      <c r="R777" s="237"/>
      <c r="S777" s="237"/>
      <c r="T777" s="237"/>
      <c r="U777" s="237"/>
      <c r="V777" s="237"/>
      <c r="W777"/>
      <c r="X777"/>
      <c r="Y777"/>
      <c r="Z777"/>
      <c r="AA777"/>
    </row>
    <row r="778" spans="1:27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 s="237"/>
      <c r="Q778" s="237"/>
      <c r="R778" s="237"/>
      <c r="S778" s="237"/>
      <c r="T778" s="237"/>
      <c r="U778" s="237"/>
      <c r="V778" s="237"/>
      <c r="W778"/>
      <c r="X778"/>
      <c r="Y778"/>
      <c r="Z778"/>
      <c r="AA778"/>
    </row>
    <row r="779" spans="1:27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 s="237"/>
      <c r="Q779" s="237"/>
      <c r="R779" s="237"/>
      <c r="S779" s="237"/>
      <c r="T779" s="237"/>
      <c r="U779" s="237"/>
      <c r="V779" s="237"/>
      <c r="W779"/>
      <c r="X779"/>
      <c r="Y779"/>
      <c r="Z779"/>
      <c r="AA779"/>
    </row>
    <row r="780" spans="1:27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 s="237"/>
      <c r="Q780" s="237"/>
      <c r="R780" s="237"/>
      <c r="S780" s="237"/>
      <c r="T780" s="237"/>
      <c r="U780" s="237"/>
      <c r="V780" s="237"/>
      <c r="W780"/>
      <c r="X780"/>
      <c r="Y780"/>
      <c r="Z780"/>
      <c r="AA780"/>
    </row>
    <row r="781" spans="1:27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 s="237"/>
      <c r="Q781" s="237"/>
      <c r="R781" s="237"/>
      <c r="S781" s="237"/>
      <c r="T781" s="237"/>
      <c r="U781" s="237"/>
      <c r="V781" s="237"/>
      <c r="W781"/>
      <c r="X781"/>
      <c r="Y781"/>
      <c r="Z781"/>
      <c r="AA781"/>
    </row>
    <row r="782" spans="1:27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 s="237"/>
      <c r="Q782" s="237"/>
      <c r="R782" s="237"/>
      <c r="S782" s="237"/>
      <c r="T782" s="237"/>
      <c r="U782" s="237"/>
      <c r="V782" s="237"/>
      <c r="W782"/>
      <c r="X782"/>
      <c r="Y782"/>
      <c r="Z782"/>
      <c r="AA782"/>
    </row>
    <row r="783" spans="1:27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 s="237"/>
      <c r="Q783" s="237"/>
      <c r="R783" s="237"/>
      <c r="S783" s="237"/>
      <c r="T783" s="237"/>
      <c r="U783" s="237"/>
      <c r="V783" s="237"/>
      <c r="W783"/>
      <c r="X783"/>
      <c r="Y783"/>
      <c r="Z783"/>
      <c r="AA783"/>
    </row>
    <row r="784" spans="1:27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 s="237"/>
      <c r="Q784" s="237"/>
      <c r="R784" s="237"/>
      <c r="S784" s="237"/>
      <c r="T784" s="237"/>
      <c r="U784" s="237"/>
      <c r="V784" s="237"/>
      <c r="W784"/>
      <c r="X784"/>
      <c r="Y784"/>
      <c r="Z784"/>
      <c r="AA784"/>
    </row>
    <row r="785" spans="1:27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 s="237"/>
      <c r="Q785" s="237"/>
      <c r="R785" s="237"/>
      <c r="S785" s="237"/>
      <c r="T785" s="237"/>
      <c r="U785" s="237"/>
      <c r="V785" s="237"/>
      <c r="W785"/>
      <c r="X785"/>
      <c r="Y785"/>
      <c r="Z785"/>
      <c r="AA785"/>
    </row>
    <row r="786" spans="1:27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 s="237"/>
      <c r="Q786" s="237"/>
      <c r="R786" s="237"/>
      <c r="S786" s="237"/>
      <c r="T786" s="237"/>
      <c r="U786" s="237"/>
      <c r="V786" s="237"/>
      <c r="W786"/>
      <c r="X786"/>
      <c r="Y786"/>
      <c r="Z786"/>
      <c r="AA786"/>
    </row>
    <row r="787" spans="1:27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 s="237"/>
      <c r="Q787" s="237"/>
      <c r="R787" s="237"/>
      <c r="S787" s="237"/>
      <c r="T787" s="237"/>
      <c r="U787" s="237"/>
      <c r="V787" s="237"/>
      <c r="W787"/>
      <c r="X787"/>
      <c r="Y787"/>
      <c r="Z787"/>
      <c r="AA787"/>
    </row>
    <row r="788" spans="1:27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 s="237"/>
      <c r="Q788" s="237"/>
      <c r="R788" s="237"/>
      <c r="S788" s="237"/>
      <c r="T788" s="237"/>
      <c r="U788" s="237"/>
      <c r="V788" s="237"/>
      <c r="W788"/>
      <c r="X788"/>
      <c r="Y788"/>
      <c r="Z788"/>
      <c r="AA788"/>
    </row>
    <row r="789" spans="1:27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 s="237"/>
      <c r="Q789" s="237"/>
      <c r="R789" s="237"/>
      <c r="S789" s="237"/>
      <c r="T789" s="237"/>
      <c r="U789" s="237"/>
      <c r="V789" s="237"/>
      <c r="W789"/>
      <c r="X789"/>
      <c r="Y789"/>
      <c r="Z789"/>
      <c r="AA789"/>
    </row>
    <row r="790" spans="1:27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 s="237"/>
      <c r="Q790" s="237"/>
      <c r="R790" s="237"/>
      <c r="S790" s="237"/>
      <c r="T790" s="237"/>
      <c r="U790" s="237"/>
      <c r="V790" s="237"/>
      <c r="W790"/>
      <c r="X790"/>
      <c r="Y790"/>
      <c r="Z790"/>
      <c r="AA790"/>
    </row>
    <row r="791" spans="1:27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 s="237"/>
      <c r="Q791" s="237"/>
      <c r="R791" s="237"/>
      <c r="S791" s="237"/>
      <c r="T791" s="237"/>
      <c r="U791" s="237"/>
      <c r="V791" s="237"/>
      <c r="W791"/>
      <c r="X791"/>
      <c r="Y791"/>
      <c r="Z791"/>
      <c r="AA791"/>
    </row>
    <row r="792" spans="1:27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 s="237"/>
      <c r="Q792" s="237"/>
      <c r="R792" s="237"/>
      <c r="S792" s="237"/>
      <c r="T792" s="237"/>
      <c r="U792" s="237"/>
      <c r="V792" s="237"/>
      <c r="W792"/>
      <c r="X792"/>
      <c r="Y792"/>
      <c r="Z792"/>
      <c r="AA792"/>
    </row>
    <row r="793" spans="1:27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 s="237"/>
      <c r="Q793" s="237"/>
      <c r="R793" s="237"/>
      <c r="S793" s="237"/>
      <c r="T793" s="237"/>
      <c r="U793" s="237"/>
      <c r="V793" s="237"/>
      <c r="W793"/>
      <c r="X793"/>
      <c r="Y793"/>
      <c r="Z793"/>
      <c r="AA793"/>
    </row>
    <row r="794" spans="1:27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 s="237"/>
      <c r="Q794" s="237"/>
      <c r="R794" s="237"/>
      <c r="S794" s="237"/>
      <c r="T794" s="237"/>
      <c r="U794" s="237"/>
      <c r="V794" s="237"/>
      <c r="W794"/>
      <c r="X794"/>
      <c r="Y794"/>
      <c r="Z794"/>
      <c r="AA794"/>
    </row>
    <row r="795" spans="1:27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 s="237"/>
      <c r="Q795" s="237"/>
      <c r="R795" s="237"/>
      <c r="S795" s="237"/>
      <c r="T795" s="237"/>
      <c r="U795" s="237"/>
      <c r="V795" s="237"/>
      <c r="W795"/>
      <c r="X795"/>
      <c r="Y795"/>
      <c r="Z795"/>
      <c r="AA795"/>
    </row>
    <row r="796" spans="1:27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 s="237"/>
      <c r="Q796" s="237"/>
      <c r="R796" s="237"/>
      <c r="S796" s="237"/>
      <c r="T796" s="237"/>
      <c r="U796" s="237"/>
      <c r="V796" s="237"/>
      <c r="W796"/>
      <c r="X796"/>
      <c r="Y796"/>
      <c r="Z796"/>
      <c r="AA796"/>
    </row>
    <row r="797" spans="1:27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 s="237"/>
      <c r="Q797" s="237"/>
      <c r="R797" s="237"/>
      <c r="S797" s="237"/>
      <c r="T797" s="237"/>
      <c r="U797" s="237"/>
      <c r="V797" s="237"/>
      <c r="W797"/>
      <c r="X797"/>
      <c r="Y797"/>
      <c r="Z797"/>
      <c r="AA797"/>
    </row>
    <row r="798" spans="1:27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 s="237"/>
      <c r="Q798" s="237"/>
      <c r="R798" s="237"/>
      <c r="S798" s="237"/>
      <c r="T798" s="237"/>
      <c r="U798" s="237"/>
      <c r="V798" s="237"/>
      <c r="W798"/>
      <c r="X798"/>
      <c r="Y798"/>
      <c r="Z798"/>
      <c r="AA798"/>
    </row>
    <row r="799" spans="1:27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 s="237"/>
      <c r="Q799" s="237"/>
      <c r="R799" s="237"/>
      <c r="S799" s="237"/>
      <c r="T799" s="237"/>
      <c r="U799" s="237"/>
      <c r="V799" s="237"/>
      <c r="W799"/>
      <c r="X799"/>
      <c r="Y799"/>
      <c r="Z799"/>
      <c r="AA799"/>
    </row>
    <row r="800" spans="1:27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 s="237"/>
      <c r="Q800" s="237"/>
      <c r="R800" s="237"/>
      <c r="S800" s="237"/>
      <c r="T800" s="237"/>
      <c r="U800" s="237"/>
      <c r="V800" s="237"/>
      <c r="W800"/>
      <c r="X800"/>
      <c r="Y800"/>
      <c r="Z800"/>
      <c r="AA800"/>
    </row>
    <row r="801" spans="1:27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 s="237"/>
      <c r="Q801" s="237"/>
      <c r="R801" s="237"/>
      <c r="S801" s="237"/>
      <c r="T801" s="237"/>
      <c r="U801" s="237"/>
      <c r="V801" s="237"/>
      <c r="W801"/>
      <c r="X801"/>
      <c r="Y801"/>
      <c r="Z801"/>
      <c r="AA801"/>
    </row>
    <row r="802" spans="1:27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 s="237"/>
      <c r="Q802" s="237"/>
      <c r="R802" s="237"/>
      <c r="S802" s="237"/>
      <c r="T802" s="237"/>
      <c r="U802" s="237"/>
      <c r="V802" s="237"/>
      <c r="W802"/>
      <c r="X802"/>
      <c r="Y802"/>
      <c r="Z802"/>
      <c r="AA802"/>
    </row>
    <row r="803" spans="1:27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 s="237"/>
      <c r="Q803" s="237"/>
      <c r="R803" s="237"/>
      <c r="S803" s="237"/>
      <c r="T803" s="237"/>
      <c r="U803" s="237"/>
      <c r="V803" s="237"/>
      <c r="W803"/>
      <c r="X803"/>
      <c r="Y803"/>
      <c r="Z803"/>
      <c r="AA803"/>
    </row>
    <row r="804" spans="1:27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 s="237"/>
      <c r="Q804" s="237"/>
      <c r="R804" s="237"/>
      <c r="S804" s="237"/>
      <c r="T804" s="237"/>
      <c r="U804" s="237"/>
      <c r="V804" s="237"/>
      <c r="W804"/>
      <c r="X804"/>
      <c r="Y804"/>
      <c r="Z804"/>
      <c r="AA804"/>
    </row>
    <row r="805" spans="1:27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 s="237"/>
      <c r="Q805" s="237"/>
      <c r="R805" s="237"/>
      <c r="S805" s="237"/>
      <c r="T805" s="237"/>
      <c r="U805" s="237"/>
      <c r="V805" s="237"/>
      <c r="W805"/>
      <c r="X805"/>
      <c r="Y805"/>
      <c r="Z805"/>
      <c r="AA805"/>
    </row>
    <row r="806" spans="1:27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 s="237"/>
      <c r="Q806" s="237"/>
      <c r="R806" s="237"/>
      <c r="S806" s="237"/>
      <c r="T806" s="237"/>
      <c r="U806" s="237"/>
      <c r="V806" s="237"/>
      <c r="W806"/>
      <c r="X806"/>
      <c r="Y806"/>
      <c r="Z806"/>
      <c r="AA806"/>
    </row>
    <row r="807" spans="1:27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 s="237"/>
      <c r="Q807" s="237"/>
      <c r="R807" s="237"/>
      <c r="S807" s="237"/>
      <c r="T807" s="237"/>
      <c r="U807" s="237"/>
      <c r="V807" s="237"/>
      <c r="W807"/>
      <c r="X807"/>
      <c r="Y807"/>
      <c r="Z807"/>
      <c r="AA807"/>
    </row>
    <row r="808" spans="1:27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 s="237"/>
      <c r="Q808" s="237"/>
      <c r="R808" s="237"/>
      <c r="S808" s="237"/>
      <c r="T808" s="237"/>
      <c r="U808" s="237"/>
      <c r="V808" s="237"/>
      <c r="W808"/>
      <c r="X808"/>
      <c r="Y808"/>
      <c r="Z808"/>
      <c r="AA808"/>
    </row>
    <row r="809" spans="1:27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 s="237"/>
      <c r="Q809" s="237"/>
      <c r="R809" s="237"/>
      <c r="S809" s="237"/>
      <c r="T809" s="237"/>
      <c r="U809" s="237"/>
      <c r="V809" s="237"/>
      <c r="W809"/>
      <c r="X809"/>
      <c r="Y809"/>
      <c r="Z809"/>
      <c r="AA809"/>
    </row>
    <row r="810" spans="1:27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 s="237"/>
      <c r="Q810" s="237"/>
      <c r="R810" s="237"/>
      <c r="S810" s="237"/>
      <c r="T810" s="237"/>
      <c r="U810" s="237"/>
      <c r="V810" s="237"/>
      <c r="W810"/>
      <c r="X810"/>
      <c r="Y810"/>
      <c r="Z810"/>
      <c r="AA810"/>
    </row>
    <row r="811" spans="1:27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 s="237"/>
      <c r="Q811" s="237"/>
      <c r="R811" s="237"/>
      <c r="S811" s="237"/>
      <c r="T811" s="237"/>
      <c r="U811" s="237"/>
      <c r="V811" s="237"/>
      <c r="W811"/>
      <c r="X811"/>
      <c r="Y811"/>
      <c r="Z811"/>
      <c r="AA811"/>
    </row>
    <row r="812" spans="1:27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 s="237"/>
      <c r="Q812" s="237"/>
      <c r="R812" s="237"/>
      <c r="S812" s="237"/>
      <c r="T812" s="237"/>
      <c r="U812" s="237"/>
      <c r="V812" s="237"/>
      <c r="W812"/>
      <c r="X812"/>
      <c r="Y812"/>
      <c r="Z812"/>
      <c r="AA812"/>
    </row>
    <row r="813" spans="1:27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 s="237"/>
      <c r="Q813" s="237"/>
      <c r="R813" s="237"/>
      <c r="S813" s="237"/>
      <c r="T813" s="237"/>
      <c r="U813" s="237"/>
      <c r="V813" s="237"/>
      <c r="W813"/>
      <c r="X813"/>
      <c r="Y813"/>
      <c r="Z813"/>
      <c r="AA813"/>
    </row>
    <row r="814" spans="1:27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 s="237"/>
      <c r="Q814" s="237"/>
      <c r="R814" s="237"/>
      <c r="S814" s="237"/>
      <c r="T814" s="237"/>
      <c r="U814" s="237"/>
      <c r="V814" s="237"/>
      <c r="W814"/>
      <c r="X814"/>
      <c r="Y814"/>
      <c r="Z814"/>
      <c r="AA814"/>
    </row>
    <row r="815" spans="1:27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 s="237"/>
      <c r="Q815" s="237"/>
      <c r="R815" s="237"/>
      <c r="S815" s="237"/>
      <c r="T815" s="237"/>
      <c r="U815" s="237"/>
      <c r="V815" s="237"/>
      <c r="W815"/>
      <c r="X815"/>
      <c r="Y815"/>
      <c r="Z815"/>
      <c r="AA815"/>
    </row>
    <row r="816" spans="1:27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 s="237"/>
      <c r="Q816" s="237"/>
      <c r="R816" s="237"/>
      <c r="S816" s="237"/>
      <c r="T816" s="237"/>
      <c r="U816" s="237"/>
      <c r="V816" s="237"/>
      <c r="W816"/>
      <c r="X816"/>
      <c r="Y816"/>
      <c r="Z816"/>
      <c r="AA816"/>
    </row>
    <row r="817" spans="1:27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 s="237"/>
      <c r="Q817" s="237"/>
      <c r="R817" s="237"/>
      <c r="S817" s="237"/>
      <c r="T817" s="237"/>
      <c r="U817" s="237"/>
      <c r="V817" s="237"/>
      <c r="W817"/>
      <c r="X817"/>
      <c r="Y817"/>
      <c r="Z817"/>
      <c r="AA817"/>
    </row>
    <row r="818" spans="1:27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 s="237"/>
      <c r="Q818" s="237"/>
      <c r="R818" s="237"/>
      <c r="S818" s="237"/>
      <c r="T818" s="237"/>
      <c r="U818" s="237"/>
      <c r="V818" s="237"/>
      <c r="W818"/>
      <c r="X818"/>
      <c r="Y818"/>
      <c r="Z818"/>
      <c r="AA818"/>
    </row>
    <row r="819" spans="1:27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 s="237"/>
      <c r="Q819" s="237"/>
      <c r="R819" s="237"/>
      <c r="S819" s="237"/>
      <c r="T819" s="237"/>
      <c r="U819" s="237"/>
      <c r="V819" s="237"/>
      <c r="W819"/>
      <c r="X819"/>
      <c r="Y819"/>
      <c r="Z819"/>
      <c r="AA819"/>
    </row>
    <row r="820" spans="1:27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 s="237"/>
      <c r="Q820" s="237"/>
      <c r="R820" s="237"/>
      <c r="S820" s="237"/>
      <c r="T820" s="237"/>
      <c r="U820" s="237"/>
      <c r="V820" s="237"/>
      <c r="W820"/>
      <c r="X820"/>
      <c r="Y820"/>
      <c r="Z820"/>
      <c r="AA820"/>
    </row>
    <row r="821" spans="1:27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 s="237"/>
      <c r="Q821" s="237"/>
      <c r="R821" s="237"/>
      <c r="S821" s="237"/>
      <c r="T821" s="237"/>
      <c r="U821" s="237"/>
      <c r="V821" s="237"/>
      <c r="W821"/>
      <c r="X821"/>
      <c r="Y821"/>
      <c r="Z821"/>
      <c r="AA821"/>
    </row>
    <row r="822" spans="1:27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 s="237"/>
      <c r="Q822" s="237"/>
      <c r="R822" s="237"/>
      <c r="S822" s="237"/>
      <c r="T822" s="237"/>
      <c r="U822" s="237"/>
      <c r="V822" s="237"/>
      <c r="W822"/>
      <c r="X822"/>
      <c r="Y822"/>
      <c r="Z822"/>
      <c r="AA822"/>
    </row>
    <row r="823" spans="1:27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 s="237"/>
      <c r="Q823" s="237"/>
      <c r="R823" s="237"/>
      <c r="S823" s="237"/>
      <c r="T823" s="237"/>
      <c r="U823" s="237"/>
      <c r="V823" s="237"/>
      <c r="W823"/>
      <c r="X823"/>
      <c r="Y823"/>
      <c r="Z823"/>
      <c r="AA823"/>
    </row>
    <row r="824" spans="1:27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 s="237"/>
      <c r="Q824" s="237"/>
      <c r="R824" s="237"/>
      <c r="S824" s="237"/>
      <c r="T824" s="237"/>
      <c r="U824" s="237"/>
      <c r="V824" s="237"/>
      <c r="W824"/>
      <c r="X824"/>
      <c r="Y824"/>
      <c r="Z824"/>
      <c r="AA824"/>
    </row>
    <row r="825" spans="1:27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 s="237"/>
      <c r="Q825" s="237"/>
      <c r="R825" s="237"/>
      <c r="S825" s="237"/>
      <c r="T825" s="237"/>
      <c r="U825" s="237"/>
      <c r="V825" s="237"/>
      <c r="W825"/>
      <c r="X825"/>
      <c r="Y825"/>
      <c r="Z825"/>
      <c r="AA825"/>
    </row>
    <row r="826" spans="1:27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 s="237"/>
      <c r="Q826" s="237"/>
      <c r="R826" s="237"/>
      <c r="S826" s="237"/>
      <c r="T826" s="237"/>
      <c r="U826" s="237"/>
      <c r="V826" s="237"/>
      <c r="W826"/>
      <c r="X826"/>
      <c r="Y826"/>
      <c r="Z826"/>
      <c r="AA826"/>
    </row>
    <row r="827" spans="1:27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 s="237"/>
      <c r="Q827" s="237"/>
      <c r="R827" s="237"/>
      <c r="S827" s="237"/>
      <c r="T827" s="237"/>
      <c r="U827" s="237"/>
      <c r="V827" s="237"/>
      <c r="W827"/>
      <c r="X827"/>
      <c r="Y827"/>
      <c r="Z827"/>
      <c r="AA827"/>
    </row>
    <row r="828" spans="1:27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 s="237"/>
      <c r="Q828" s="237"/>
      <c r="R828" s="237"/>
      <c r="S828" s="237"/>
      <c r="T828" s="237"/>
      <c r="U828" s="237"/>
      <c r="V828" s="237"/>
      <c r="W828"/>
      <c r="X828"/>
      <c r="Y828"/>
      <c r="Z828"/>
      <c r="AA828"/>
    </row>
    <row r="829" spans="1:27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 s="237"/>
      <c r="Q829" s="237"/>
      <c r="R829" s="237"/>
      <c r="S829" s="237"/>
      <c r="T829" s="237"/>
      <c r="U829" s="237"/>
      <c r="V829" s="237"/>
      <c r="W829"/>
      <c r="X829"/>
      <c r="Y829"/>
      <c r="Z829"/>
      <c r="AA829"/>
    </row>
    <row r="830" spans="1:27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 s="237"/>
      <c r="Q830" s="237"/>
      <c r="R830" s="237"/>
      <c r="S830" s="237"/>
      <c r="T830" s="237"/>
      <c r="U830" s="237"/>
      <c r="V830" s="237"/>
      <c r="W830"/>
      <c r="X830"/>
      <c r="Y830"/>
      <c r="Z830"/>
      <c r="AA830"/>
    </row>
    <row r="831" spans="1:27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 s="237"/>
      <c r="Q831" s="237"/>
      <c r="R831" s="237"/>
      <c r="S831" s="237"/>
      <c r="T831" s="237"/>
      <c r="U831" s="237"/>
      <c r="V831" s="237"/>
      <c r="W831"/>
      <c r="X831"/>
      <c r="Y831"/>
      <c r="Z831"/>
      <c r="AA831"/>
    </row>
    <row r="832" spans="1:27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 s="237"/>
      <c r="Q832" s="237"/>
      <c r="R832" s="237"/>
      <c r="S832" s="237"/>
      <c r="T832" s="237"/>
      <c r="U832" s="237"/>
      <c r="V832" s="237"/>
      <c r="W832"/>
      <c r="X832"/>
      <c r="Y832"/>
      <c r="Z832"/>
      <c r="AA832"/>
    </row>
    <row r="833" spans="1:27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 s="237"/>
      <c r="Q833" s="237"/>
      <c r="R833" s="237"/>
      <c r="S833" s="237"/>
      <c r="T833" s="237"/>
      <c r="U833" s="237"/>
      <c r="V833" s="237"/>
      <c r="W833"/>
      <c r="X833"/>
      <c r="Y833"/>
      <c r="Z833"/>
      <c r="AA833"/>
    </row>
    <row r="834" spans="1:27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 s="237"/>
      <c r="Q834" s="237"/>
      <c r="R834" s="237"/>
      <c r="S834" s="237"/>
      <c r="T834" s="237"/>
      <c r="U834" s="237"/>
      <c r="V834" s="237"/>
      <c r="W834"/>
      <c r="X834"/>
      <c r="Y834"/>
      <c r="Z834"/>
      <c r="AA834"/>
    </row>
    <row r="835" spans="1:27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 s="237"/>
      <c r="Q835" s="237"/>
      <c r="R835" s="237"/>
      <c r="S835" s="237"/>
      <c r="T835" s="237"/>
      <c r="U835" s="237"/>
      <c r="V835" s="237"/>
      <c r="W835"/>
      <c r="X835"/>
      <c r="Y835"/>
      <c r="Z835"/>
      <c r="AA835"/>
    </row>
    <row r="836" spans="1:27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 s="237"/>
      <c r="Q836" s="237"/>
      <c r="R836" s="237"/>
      <c r="S836" s="237"/>
      <c r="T836" s="237"/>
      <c r="U836" s="237"/>
      <c r="V836" s="237"/>
      <c r="W836"/>
      <c r="X836"/>
      <c r="Y836"/>
      <c r="Z836"/>
      <c r="AA836"/>
    </row>
    <row r="837" spans="1:27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 s="237"/>
      <c r="Q837" s="237"/>
      <c r="R837" s="237"/>
      <c r="S837" s="237"/>
      <c r="T837" s="237"/>
      <c r="U837" s="237"/>
      <c r="V837" s="237"/>
      <c r="W837"/>
      <c r="X837"/>
      <c r="Y837"/>
      <c r="Z837"/>
      <c r="AA837"/>
    </row>
    <row r="838" spans="1:27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 s="237"/>
      <c r="Q838" s="237"/>
      <c r="R838" s="237"/>
      <c r="S838" s="237"/>
      <c r="T838" s="237"/>
      <c r="U838" s="237"/>
      <c r="V838" s="237"/>
      <c r="W838"/>
      <c r="X838"/>
      <c r="Y838"/>
      <c r="Z838"/>
      <c r="AA838"/>
    </row>
    <row r="839" spans="1:27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 s="237"/>
      <c r="Q839" s="237"/>
      <c r="R839" s="237"/>
      <c r="S839" s="237"/>
      <c r="T839" s="237"/>
      <c r="U839" s="237"/>
      <c r="V839" s="237"/>
      <c r="W839"/>
      <c r="X839"/>
      <c r="Y839"/>
      <c r="Z839"/>
      <c r="AA839"/>
    </row>
    <row r="840" spans="1:27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 s="237"/>
      <c r="Q840" s="237"/>
      <c r="R840" s="237"/>
      <c r="S840" s="237"/>
      <c r="T840" s="237"/>
      <c r="U840" s="237"/>
      <c r="V840" s="237"/>
      <c r="W840"/>
      <c r="X840"/>
      <c r="Y840"/>
      <c r="Z840"/>
      <c r="AA840"/>
    </row>
    <row r="841" spans="1:27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 s="237"/>
      <c r="Q841" s="237"/>
      <c r="R841" s="237"/>
      <c r="S841" s="237"/>
      <c r="T841" s="237"/>
      <c r="U841" s="237"/>
      <c r="V841" s="237"/>
      <c r="W841"/>
      <c r="X841"/>
      <c r="Y841"/>
      <c r="Z841"/>
      <c r="AA841"/>
    </row>
    <row r="842" spans="1:27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 s="237"/>
      <c r="Q842" s="237"/>
      <c r="R842" s="237"/>
      <c r="S842" s="237"/>
      <c r="T842" s="237"/>
      <c r="U842" s="237"/>
      <c r="V842" s="237"/>
      <c r="W842"/>
      <c r="X842"/>
      <c r="Y842"/>
      <c r="Z842"/>
      <c r="AA842"/>
    </row>
    <row r="843" spans="1:27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 s="237"/>
      <c r="Q843" s="237"/>
      <c r="R843" s="237"/>
      <c r="S843" s="237"/>
      <c r="T843" s="237"/>
      <c r="U843" s="237"/>
      <c r="V843" s="237"/>
      <c r="W843"/>
      <c r="X843"/>
      <c r="Y843"/>
      <c r="Z843"/>
      <c r="AA843"/>
    </row>
    <row r="844" spans="1:27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 s="237"/>
      <c r="Q844" s="237"/>
      <c r="R844" s="237"/>
      <c r="S844" s="237"/>
      <c r="T844" s="237"/>
      <c r="U844" s="237"/>
      <c r="V844" s="237"/>
      <c r="W844"/>
      <c r="X844"/>
      <c r="Y844"/>
      <c r="Z844"/>
      <c r="AA844"/>
    </row>
    <row r="845" spans="1:27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 s="237"/>
      <c r="Q845" s="237"/>
      <c r="R845" s="237"/>
      <c r="S845" s="237"/>
      <c r="T845" s="237"/>
      <c r="U845" s="237"/>
      <c r="V845" s="237"/>
      <c r="W845"/>
      <c r="X845"/>
      <c r="Y845"/>
      <c r="Z845"/>
      <c r="AA845"/>
    </row>
    <row r="846" spans="1:27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 s="237"/>
      <c r="Q846" s="237"/>
      <c r="R846" s="237"/>
      <c r="S846" s="237"/>
      <c r="T846" s="237"/>
      <c r="U846" s="237"/>
      <c r="V846" s="237"/>
      <c r="W846"/>
      <c r="X846"/>
      <c r="Y846"/>
      <c r="Z846"/>
      <c r="AA846"/>
    </row>
    <row r="847" spans="1:27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 s="237"/>
      <c r="Q847" s="237"/>
      <c r="R847" s="237"/>
      <c r="S847" s="237"/>
      <c r="T847" s="237"/>
      <c r="U847" s="237"/>
      <c r="V847" s="237"/>
      <c r="W847"/>
      <c r="X847"/>
      <c r="Y847"/>
      <c r="Z847"/>
      <c r="AA847"/>
    </row>
    <row r="848" spans="1:27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 s="237"/>
      <c r="Q848" s="237"/>
      <c r="R848" s="237"/>
      <c r="S848" s="237"/>
      <c r="T848" s="237"/>
      <c r="U848" s="237"/>
      <c r="V848" s="237"/>
      <c r="W848"/>
      <c r="X848"/>
      <c r="Y848"/>
      <c r="Z848"/>
      <c r="AA848"/>
    </row>
    <row r="849" spans="1:27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 s="237"/>
      <c r="Q849" s="237"/>
      <c r="R849" s="237"/>
      <c r="S849" s="237"/>
      <c r="T849" s="237"/>
      <c r="U849" s="237"/>
      <c r="V849" s="237"/>
      <c r="W849"/>
      <c r="X849"/>
      <c r="Y849"/>
      <c r="Z849"/>
      <c r="AA849"/>
    </row>
    <row r="850" spans="1:27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 s="237"/>
      <c r="Q850" s="237"/>
      <c r="R850" s="237"/>
      <c r="S850" s="237"/>
      <c r="T850" s="237"/>
      <c r="U850" s="237"/>
      <c r="V850" s="237"/>
      <c r="W850"/>
      <c r="X850"/>
      <c r="Y850"/>
      <c r="Z850"/>
      <c r="AA850"/>
    </row>
    <row r="851" spans="1:27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 s="237"/>
      <c r="Q851" s="237"/>
      <c r="R851" s="237"/>
      <c r="S851" s="237"/>
      <c r="T851" s="237"/>
      <c r="U851" s="237"/>
      <c r="V851" s="237"/>
      <c r="W851"/>
      <c r="X851"/>
      <c r="Y851"/>
      <c r="Z851"/>
      <c r="AA851"/>
    </row>
    <row r="852" spans="1:27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 s="237"/>
      <c r="Q852" s="237"/>
      <c r="R852" s="237"/>
      <c r="S852" s="237"/>
      <c r="T852" s="237"/>
      <c r="U852" s="237"/>
      <c r="V852" s="237"/>
      <c r="W852"/>
      <c r="X852"/>
      <c r="Y852"/>
      <c r="Z852"/>
      <c r="AA852"/>
    </row>
    <row r="853" spans="1:27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 s="237"/>
      <c r="Q853" s="237"/>
      <c r="R853" s="237"/>
      <c r="S853" s="237"/>
      <c r="T853" s="237"/>
      <c r="U853" s="237"/>
      <c r="V853" s="237"/>
      <c r="W853"/>
      <c r="X853"/>
      <c r="Y853"/>
      <c r="Z853"/>
      <c r="AA853"/>
    </row>
    <row r="854" spans="1:27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 s="237"/>
      <c r="Q854" s="237"/>
      <c r="R854" s="237"/>
      <c r="S854" s="237"/>
      <c r="T854" s="237"/>
      <c r="U854" s="237"/>
      <c r="V854" s="237"/>
      <c r="W854"/>
      <c r="X854"/>
      <c r="Y854"/>
      <c r="Z854"/>
      <c r="AA854"/>
    </row>
    <row r="855" spans="1:27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 s="237"/>
      <c r="Q855" s="237"/>
      <c r="R855" s="237"/>
      <c r="S855" s="237"/>
      <c r="T855" s="237"/>
      <c r="U855" s="237"/>
      <c r="V855" s="237"/>
      <c r="W855"/>
      <c r="X855"/>
      <c r="Y855"/>
      <c r="Z855"/>
      <c r="AA855"/>
    </row>
    <row r="856" spans="1:27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 s="237"/>
      <c r="Q856" s="237"/>
      <c r="R856" s="237"/>
      <c r="S856" s="237"/>
      <c r="T856" s="237"/>
      <c r="U856" s="237"/>
      <c r="V856" s="237"/>
      <c r="W856"/>
      <c r="X856"/>
      <c r="Y856"/>
      <c r="Z856"/>
      <c r="AA856"/>
    </row>
    <row r="857" spans="1:27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 s="237"/>
      <c r="Q857" s="237"/>
      <c r="R857" s="237"/>
      <c r="S857" s="237"/>
      <c r="T857" s="237"/>
      <c r="U857" s="237"/>
      <c r="V857" s="237"/>
      <c r="W857"/>
      <c r="X857"/>
      <c r="Y857"/>
      <c r="Z857"/>
      <c r="AA857"/>
    </row>
    <row r="858" spans="1:27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 s="237"/>
      <c r="Q858" s="237"/>
      <c r="R858" s="237"/>
      <c r="S858" s="237"/>
      <c r="T858" s="237"/>
      <c r="U858" s="237"/>
      <c r="V858" s="237"/>
      <c r="W858"/>
      <c r="X858"/>
      <c r="Y858"/>
      <c r="Z858"/>
      <c r="AA858"/>
    </row>
    <row r="859" spans="1:27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 s="237"/>
      <c r="Q859" s="237"/>
      <c r="R859" s="237"/>
      <c r="S859" s="237"/>
      <c r="T859" s="237"/>
      <c r="U859" s="237"/>
      <c r="V859" s="237"/>
      <c r="W859"/>
      <c r="X859"/>
      <c r="Y859"/>
      <c r="Z859"/>
      <c r="AA859"/>
    </row>
    <row r="860" spans="1:27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 s="237"/>
      <c r="Q860" s="237"/>
      <c r="R860" s="237"/>
      <c r="S860" s="237"/>
      <c r="T860" s="237"/>
      <c r="U860" s="237"/>
      <c r="V860" s="237"/>
      <c r="W860"/>
      <c r="X860"/>
      <c r="Y860"/>
      <c r="Z860"/>
      <c r="AA860"/>
    </row>
    <row r="861" spans="1:27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 s="237"/>
      <c r="Q861" s="237"/>
      <c r="R861" s="237"/>
      <c r="S861" s="237"/>
      <c r="T861" s="237"/>
      <c r="U861" s="237"/>
      <c r="V861" s="237"/>
      <c r="W861"/>
      <c r="X861"/>
      <c r="Y861"/>
      <c r="Z861"/>
      <c r="AA861"/>
    </row>
    <row r="862" spans="1:27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 s="237"/>
      <c r="Q862" s="237"/>
      <c r="R862" s="237"/>
      <c r="S862" s="237"/>
      <c r="T862" s="237"/>
      <c r="U862" s="237"/>
      <c r="V862" s="237"/>
      <c r="W862"/>
      <c r="X862"/>
      <c r="Y862"/>
      <c r="Z862"/>
      <c r="AA862"/>
    </row>
    <row r="863" spans="1:27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 s="237"/>
      <c r="Q863" s="237"/>
      <c r="R863" s="237"/>
      <c r="S863" s="237"/>
      <c r="T863" s="237"/>
      <c r="U863" s="237"/>
      <c r="V863" s="237"/>
      <c r="W863"/>
      <c r="X863"/>
      <c r="Y863"/>
      <c r="Z863"/>
      <c r="AA863"/>
    </row>
    <row r="864" spans="1:27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 s="237"/>
      <c r="Q864" s="237"/>
      <c r="R864" s="237"/>
      <c r="S864" s="237"/>
      <c r="T864" s="237"/>
      <c r="U864" s="237"/>
      <c r="V864" s="237"/>
      <c r="W864"/>
      <c r="X864"/>
      <c r="Y864"/>
      <c r="Z864"/>
      <c r="AA864"/>
    </row>
    <row r="865" spans="1:27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 s="237"/>
      <c r="Q865" s="237"/>
      <c r="R865" s="237"/>
      <c r="S865" s="237"/>
      <c r="T865" s="237"/>
      <c r="U865" s="237"/>
      <c r="V865" s="237"/>
      <c r="W865"/>
      <c r="X865"/>
      <c r="Y865"/>
      <c r="Z865"/>
      <c r="AA865"/>
    </row>
    <row r="866" spans="1:27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 s="237"/>
      <c r="Q866" s="237"/>
      <c r="R866" s="237"/>
      <c r="S866" s="237"/>
      <c r="T866" s="237"/>
      <c r="U866" s="237"/>
      <c r="V866" s="237"/>
      <c r="W866"/>
      <c r="X866"/>
      <c r="Y866"/>
      <c r="Z866"/>
      <c r="AA866"/>
    </row>
    <row r="867" spans="1:27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 s="237"/>
      <c r="Q867" s="237"/>
      <c r="R867" s="237"/>
      <c r="S867" s="237"/>
      <c r="T867" s="237"/>
      <c r="U867" s="237"/>
      <c r="V867" s="237"/>
      <c r="W867"/>
      <c r="X867"/>
      <c r="Y867"/>
      <c r="Z867"/>
      <c r="AA867"/>
    </row>
    <row r="868" spans="1:27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 s="237"/>
      <c r="Q868" s="237"/>
      <c r="R868" s="237"/>
      <c r="S868" s="237"/>
      <c r="T868" s="237"/>
      <c r="U868" s="237"/>
      <c r="V868" s="237"/>
      <c r="W868"/>
      <c r="X868"/>
      <c r="Y868"/>
      <c r="Z868"/>
      <c r="AA868"/>
    </row>
    <row r="869" spans="1:27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 s="237"/>
      <c r="Q869" s="237"/>
      <c r="R869" s="237"/>
      <c r="S869" s="237"/>
      <c r="T869" s="237"/>
      <c r="U869" s="237"/>
      <c r="V869" s="237"/>
      <c r="W869"/>
      <c r="X869"/>
      <c r="Y869"/>
      <c r="Z869"/>
      <c r="AA869"/>
    </row>
    <row r="870" spans="1:27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 s="237"/>
      <c r="Q870" s="237"/>
      <c r="R870" s="237"/>
      <c r="S870" s="237"/>
      <c r="T870" s="237"/>
      <c r="U870" s="237"/>
      <c r="V870" s="237"/>
      <c r="W870"/>
      <c r="X870"/>
      <c r="Y870"/>
      <c r="Z870"/>
      <c r="AA870"/>
    </row>
    <row r="871" spans="1:27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 s="237"/>
      <c r="Q871" s="237"/>
      <c r="R871" s="237"/>
      <c r="S871" s="237"/>
      <c r="T871" s="237"/>
      <c r="U871" s="237"/>
      <c r="V871" s="237"/>
      <c r="W871"/>
      <c r="X871"/>
      <c r="Y871"/>
      <c r="Z871"/>
      <c r="AA871"/>
    </row>
    <row r="872" spans="1:27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 s="237"/>
      <c r="Q872" s="237"/>
      <c r="R872" s="237"/>
      <c r="S872" s="237"/>
      <c r="T872" s="237"/>
      <c r="U872" s="237"/>
      <c r="V872" s="237"/>
      <c r="W872"/>
      <c r="X872"/>
      <c r="Y872"/>
      <c r="Z872"/>
      <c r="AA872"/>
    </row>
    <row r="873" spans="1:27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 s="237"/>
      <c r="Q873" s="237"/>
      <c r="R873" s="237"/>
      <c r="S873" s="237"/>
      <c r="T873" s="237"/>
      <c r="U873" s="237"/>
      <c r="V873" s="237"/>
      <c r="W873"/>
      <c r="X873"/>
      <c r="Y873"/>
      <c r="Z873"/>
      <c r="AA873"/>
    </row>
    <row r="874" spans="1:27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 s="237"/>
      <c r="Q874" s="237"/>
      <c r="R874" s="237"/>
      <c r="S874" s="237"/>
      <c r="T874" s="237"/>
      <c r="U874" s="237"/>
      <c r="V874" s="237"/>
      <c r="W874"/>
      <c r="X874"/>
      <c r="Y874"/>
      <c r="Z874"/>
      <c r="AA874"/>
    </row>
    <row r="875" spans="1:27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 s="237"/>
      <c r="Q875" s="237"/>
      <c r="R875" s="237"/>
      <c r="S875" s="237"/>
      <c r="T875" s="237"/>
      <c r="U875" s="237"/>
      <c r="V875" s="237"/>
      <c r="W875"/>
      <c r="X875"/>
      <c r="Y875"/>
      <c r="Z875"/>
      <c r="AA875"/>
    </row>
    <row r="876" spans="1:27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 s="237"/>
      <c r="Q876" s="237"/>
      <c r="R876" s="237"/>
      <c r="S876" s="237"/>
      <c r="T876" s="237"/>
      <c r="U876" s="237"/>
      <c r="V876" s="237"/>
      <c r="W876"/>
      <c r="X876"/>
      <c r="Y876"/>
      <c r="Z876"/>
      <c r="AA876"/>
    </row>
    <row r="877" spans="1:27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 s="237"/>
      <c r="Q877" s="237"/>
      <c r="R877" s="237"/>
      <c r="S877" s="237"/>
      <c r="T877" s="237"/>
      <c r="U877" s="237"/>
      <c r="V877" s="237"/>
      <c r="W877"/>
      <c r="X877"/>
      <c r="Y877"/>
      <c r="Z877"/>
      <c r="AA877"/>
    </row>
    <row r="878" spans="1:27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 s="237"/>
      <c r="Q878" s="237"/>
      <c r="R878" s="237"/>
      <c r="S878" s="237"/>
      <c r="T878" s="237"/>
      <c r="U878" s="237"/>
      <c r="V878" s="237"/>
      <c r="W878"/>
      <c r="X878"/>
      <c r="Y878"/>
      <c r="Z878"/>
      <c r="AA878"/>
    </row>
    <row r="879" spans="1:27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 s="237"/>
      <c r="Q879" s="237"/>
      <c r="R879" s="237"/>
      <c r="S879" s="237"/>
      <c r="T879" s="237"/>
      <c r="U879" s="237"/>
      <c r="V879" s="237"/>
      <c r="W879"/>
      <c r="X879"/>
      <c r="Y879"/>
      <c r="Z879"/>
      <c r="AA879"/>
    </row>
    <row r="880" spans="1:27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 s="237"/>
      <c r="Q880" s="237"/>
      <c r="R880" s="237"/>
      <c r="S880" s="237"/>
      <c r="T880" s="237"/>
      <c r="U880" s="237"/>
      <c r="V880" s="237"/>
      <c r="W880"/>
      <c r="X880"/>
      <c r="Y880"/>
      <c r="Z880"/>
      <c r="AA880"/>
    </row>
    <row r="881" spans="1:27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 s="237"/>
      <c r="Q881" s="237"/>
      <c r="R881" s="237"/>
      <c r="S881" s="237"/>
      <c r="T881" s="237"/>
      <c r="U881" s="237"/>
      <c r="V881" s="237"/>
      <c r="W881"/>
      <c r="X881"/>
      <c r="Y881"/>
      <c r="Z881"/>
      <c r="AA881"/>
    </row>
    <row r="882" spans="1:27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 s="237"/>
      <c r="Q882" s="237"/>
      <c r="R882" s="237"/>
      <c r="S882" s="237"/>
      <c r="T882" s="237"/>
      <c r="U882" s="237"/>
      <c r="V882" s="237"/>
      <c r="W882"/>
      <c r="X882"/>
      <c r="Y882"/>
      <c r="Z882"/>
      <c r="AA882"/>
    </row>
    <row r="883" spans="1:27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 s="237"/>
      <c r="Q883" s="237"/>
      <c r="R883" s="237"/>
      <c r="S883" s="237"/>
      <c r="T883" s="237"/>
      <c r="U883" s="237"/>
      <c r="V883" s="237"/>
      <c r="W883"/>
      <c r="X883"/>
      <c r="Y883"/>
      <c r="Z883"/>
      <c r="AA883"/>
    </row>
    <row r="884" spans="1:27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 s="237"/>
      <c r="Q884" s="237"/>
      <c r="R884" s="237"/>
      <c r="S884" s="237"/>
      <c r="T884" s="237"/>
      <c r="U884" s="237"/>
      <c r="V884" s="237"/>
      <c r="W884"/>
      <c r="X884"/>
      <c r="Y884"/>
      <c r="Z884"/>
      <c r="AA884"/>
    </row>
    <row r="885" spans="1:27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 s="237"/>
      <c r="Q885" s="237"/>
      <c r="R885" s="237"/>
      <c r="S885" s="237"/>
      <c r="T885" s="237"/>
      <c r="U885" s="237"/>
      <c r="V885" s="237"/>
      <c r="W885"/>
      <c r="X885"/>
      <c r="Y885"/>
      <c r="Z885"/>
      <c r="AA885"/>
    </row>
    <row r="886" spans="1:27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 s="237"/>
      <c r="Q886" s="237"/>
      <c r="R886" s="237"/>
      <c r="S886" s="237"/>
      <c r="T886" s="237"/>
      <c r="U886" s="237"/>
      <c r="V886" s="237"/>
      <c r="W886"/>
      <c r="X886"/>
      <c r="Y886"/>
      <c r="Z886"/>
      <c r="AA886"/>
    </row>
    <row r="887" spans="1:27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 s="237"/>
      <c r="Q887" s="237"/>
      <c r="R887" s="237"/>
      <c r="S887" s="237"/>
      <c r="T887" s="237"/>
      <c r="U887" s="237"/>
      <c r="V887" s="237"/>
      <c r="W887"/>
      <c r="X887"/>
      <c r="Y887"/>
      <c r="Z887"/>
      <c r="AA887"/>
    </row>
    <row r="888" spans="1:27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 s="237"/>
      <c r="Q888" s="237"/>
      <c r="R888" s="237"/>
      <c r="S888" s="237"/>
      <c r="T888" s="237"/>
      <c r="U888" s="237"/>
      <c r="V888" s="237"/>
      <c r="W888"/>
      <c r="X888"/>
      <c r="Y888"/>
      <c r="Z888"/>
      <c r="AA888"/>
    </row>
    <row r="889" spans="1:27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 s="237"/>
      <c r="Q889" s="237"/>
      <c r="R889" s="237"/>
      <c r="S889" s="237"/>
      <c r="T889" s="237"/>
      <c r="U889" s="237"/>
      <c r="V889" s="237"/>
      <c r="W889"/>
      <c r="X889"/>
      <c r="Y889"/>
      <c r="Z889"/>
      <c r="AA889"/>
    </row>
    <row r="890" spans="1:27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 s="237"/>
      <c r="Q890" s="237"/>
      <c r="R890" s="237"/>
      <c r="S890" s="237"/>
      <c r="T890" s="237"/>
      <c r="U890" s="237"/>
      <c r="V890" s="237"/>
      <c r="W890"/>
      <c r="X890"/>
      <c r="Y890"/>
      <c r="Z890"/>
      <c r="AA890"/>
    </row>
    <row r="891" spans="1:27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 s="237"/>
      <c r="Q891" s="237"/>
      <c r="R891" s="237"/>
      <c r="S891" s="237"/>
      <c r="T891" s="237"/>
      <c r="U891" s="237"/>
      <c r="V891" s="237"/>
      <c r="W891"/>
      <c r="X891"/>
      <c r="Y891"/>
      <c r="Z891"/>
      <c r="AA891"/>
    </row>
    <row r="892" spans="1:27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 s="237"/>
      <c r="Q892" s="237"/>
      <c r="R892" s="237"/>
      <c r="S892" s="237"/>
      <c r="T892" s="237"/>
      <c r="U892" s="237"/>
      <c r="V892" s="237"/>
      <c r="W892"/>
      <c r="X892"/>
      <c r="Y892"/>
      <c r="Z892"/>
      <c r="AA892"/>
    </row>
    <row r="893" spans="1:27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 s="237"/>
      <c r="Q893" s="237"/>
      <c r="R893" s="237"/>
      <c r="S893" s="237"/>
      <c r="T893" s="237"/>
      <c r="U893" s="237"/>
      <c r="V893" s="237"/>
      <c r="W893"/>
      <c r="X893"/>
      <c r="Y893"/>
      <c r="Z893"/>
      <c r="AA893"/>
    </row>
    <row r="894" spans="1:27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 s="237"/>
      <c r="Q894" s="237"/>
      <c r="R894" s="237"/>
      <c r="S894" s="237"/>
      <c r="T894" s="237"/>
      <c r="U894" s="237"/>
      <c r="V894" s="237"/>
      <c r="W894"/>
      <c r="X894"/>
      <c r="Y894"/>
      <c r="Z894"/>
      <c r="AA894"/>
    </row>
    <row r="895" spans="1:27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 s="237"/>
      <c r="Q895" s="237"/>
      <c r="R895" s="237"/>
      <c r="S895" s="237"/>
      <c r="T895" s="237"/>
      <c r="U895" s="237"/>
      <c r="V895" s="237"/>
      <c r="W895"/>
      <c r="X895"/>
      <c r="Y895"/>
      <c r="Z895"/>
      <c r="AA895"/>
    </row>
    <row r="896" spans="1:27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 s="237"/>
      <c r="Q896" s="237"/>
      <c r="R896" s="237"/>
      <c r="S896" s="237"/>
      <c r="T896" s="237"/>
      <c r="U896" s="237"/>
      <c r="V896" s="237"/>
      <c r="W896"/>
      <c r="X896"/>
      <c r="Y896"/>
      <c r="Z896"/>
      <c r="AA896"/>
    </row>
    <row r="897" spans="1:27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 s="237"/>
      <c r="Q897" s="237"/>
      <c r="R897" s="237"/>
      <c r="S897" s="237"/>
      <c r="T897" s="237"/>
      <c r="U897" s="237"/>
      <c r="V897" s="237"/>
      <c r="W897"/>
      <c r="X897"/>
      <c r="Y897"/>
      <c r="Z897"/>
      <c r="AA897"/>
    </row>
    <row r="898" spans="1:27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 s="237"/>
      <c r="Q898" s="237"/>
      <c r="R898" s="237"/>
      <c r="S898" s="237"/>
      <c r="T898" s="237"/>
      <c r="U898" s="237"/>
      <c r="V898" s="237"/>
      <c r="W898"/>
      <c r="X898"/>
      <c r="Y898"/>
      <c r="Z898"/>
      <c r="AA898"/>
    </row>
    <row r="899" spans="1:27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 s="237"/>
      <c r="Q899" s="237"/>
      <c r="R899" s="237"/>
      <c r="S899" s="237"/>
      <c r="T899" s="237"/>
      <c r="U899" s="237"/>
      <c r="V899" s="237"/>
      <c r="W899"/>
      <c r="X899"/>
      <c r="Y899"/>
      <c r="Z899"/>
      <c r="AA899"/>
    </row>
    <row r="900" spans="1:27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 s="237"/>
      <c r="Q900" s="237"/>
      <c r="R900" s="237"/>
      <c r="S900" s="237"/>
      <c r="T900" s="237"/>
      <c r="U900" s="237"/>
      <c r="V900" s="237"/>
      <c r="W900"/>
      <c r="X900"/>
      <c r="Y900"/>
      <c r="Z900"/>
      <c r="AA900"/>
    </row>
    <row r="901" spans="1:27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 s="237"/>
      <c r="Q901" s="237"/>
      <c r="R901" s="237"/>
      <c r="S901" s="237"/>
      <c r="T901" s="237"/>
      <c r="U901" s="237"/>
      <c r="V901" s="237"/>
      <c r="W901"/>
      <c r="X901"/>
      <c r="Y901"/>
      <c r="Z901"/>
      <c r="AA901"/>
    </row>
    <row r="902" spans="1:27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 s="237"/>
      <c r="Q902" s="237"/>
      <c r="R902" s="237"/>
      <c r="S902" s="237"/>
      <c r="T902" s="237"/>
      <c r="U902" s="237"/>
      <c r="V902" s="237"/>
      <c r="W902"/>
      <c r="X902"/>
      <c r="Y902"/>
      <c r="Z902"/>
      <c r="AA902"/>
    </row>
    <row r="903" spans="1:27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 s="237"/>
      <c r="Q903" s="237"/>
      <c r="R903" s="237"/>
      <c r="S903" s="237"/>
      <c r="T903" s="237"/>
      <c r="U903" s="237"/>
      <c r="V903" s="237"/>
      <c r="W903"/>
      <c r="X903"/>
      <c r="Y903"/>
      <c r="Z903"/>
      <c r="AA903"/>
    </row>
    <row r="904" spans="1:27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 s="237"/>
      <c r="Q904" s="237"/>
      <c r="R904" s="237"/>
      <c r="S904" s="237"/>
      <c r="T904" s="237"/>
      <c r="U904" s="237"/>
      <c r="V904" s="237"/>
      <c r="W904"/>
      <c r="X904"/>
      <c r="Y904"/>
      <c r="Z904"/>
      <c r="AA904"/>
    </row>
    <row r="905" spans="1:27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 s="237"/>
      <c r="Q905" s="237"/>
      <c r="R905" s="237"/>
      <c r="S905" s="237"/>
      <c r="T905" s="237"/>
      <c r="U905" s="237"/>
      <c r="V905" s="237"/>
      <c r="W905"/>
      <c r="X905"/>
      <c r="Y905"/>
      <c r="Z905"/>
      <c r="AA905"/>
    </row>
    <row r="906" spans="1:27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 s="237"/>
      <c r="Q906" s="237"/>
      <c r="R906" s="237"/>
      <c r="S906" s="237"/>
      <c r="T906" s="237"/>
      <c r="U906" s="237"/>
      <c r="V906" s="237"/>
      <c r="W906"/>
      <c r="X906"/>
      <c r="Y906"/>
      <c r="Z906"/>
      <c r="AA906"/>
    </row>
    <row r="907" spans="1:27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 s="237"/>
      <c r="Q907" s="237"/>
      <c r="R907" s="237"/>
      <c r="S907" s="237"/>
      <c r="T907" s="237"/>
      <c r="U907" s="237"/>
      <c r="V907" s="237"/>
      <c r="W907"/>
      <c r="X907"/>
      <c r="Y907"/>
      <c r="Z907"/>
      <c r="AA907"/>
    </row>
    <row r="908" spans="1:27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 s="237"/>
      <c r="Q908" s="237"/>
      <c r="R908" s="237"/>
      <c r="S908" s="237"/>
      <c r="T908" s="237"/>
      <c r="U908" s="237"/>
      <c r="V908" s="237"/>
      <c r="W908"/>
      <c r="X908"/>
      <c r="Y908"/>
      <c r="Z908"/>
      <c r="AA908"/>
    </row>
    <row r="909" spans="1:27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 s="237"/>
      <c r="Q909" s="237"/>
      <c r="R909" s="237"/>
      <c r="S909" s="237"/>
      <c r="T909" s="237"/>
      <c r="U909" s="237"/>
      <c r="V909" s="237"/>
      <c r="W909"/>
      <c r="X909"/>
      <c r="Y909"/>
      <c r="Z909"/>
      <c r="AA909"/>
    </row>
    <row r="910" spans="1:27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 s="237"/>
      <c r="Q910" s="237"/>
      <c r="R910" s="237"/>
      <c r="S910" s="237"/>
      <c r="T910" s="237"/>
      <c r="U910" s="237"/>
      <c r="V910" s="237"/>
      <c r="W910"/>
      <c r="X910"/>
      <c r="Y910"/>
      <c r="Z910"/>
      <c r="AA910"/>
    </row>
    <row r="911" spans="1:27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 s="237"/>
      <c r="Q911" s="237"/>
      <c r="R911" s="237"/>
      <c r="S911" s="237"/>
      <c r="T911" s="237"/>
      <c r="U911" s="237"/>
      <c r="V911" s="237"/>
      <c r="W911"/>
      <c r="X911"/>
      <c r="Y911"/>
      <c r="Z911"/>
      <c r="AA911"/>
    </row>
    <row r="912" spans="1:27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 s="237"/>
      <c r="Q912" s="237"/>
      <c r="R912" s="237"/>
      <c r="S912" s="237"/>
      <c r="T912" s="237"/>
      <c r="U912" s="237"/>
      <c r="V912" s="237"/>
      <c r="W912"/>
      <c r="X912"/>
      <c r="Y912"/>
      <c r="Z912"/>
      <c r="AA912"/>
    </row>
    <row r="913" spans="1:27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 s="237"/>
      <c r="Q913" s="237"/>
      <c r="R913" s="237"/>
      <c r="S913" s="237"/>
      <c r="T913" s="237"/>
      <c r="U913" s="237"/>
      <c r="V913" s="237"/>
      <c r="W913"/>
      <c r="X913"/>
      <c r="Y913"/>
      <c r="Z913"/>
      <c r="AA913"/>
    </row>
    <row r="914" spans="1:27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 s="237"/>
      <c r="Q914" s="237"/>
      <c r="R914" s="237"/>
      <c r="S914" s="237"/>
      <c r="T914" s="237"/>
      <c r="U914" s="237"/>
      <c r="V914" s="237"/>
      <c r="W914"/>
      <c r="X914"/>
      <c r="Y914"/>
      <c r="Z914"/>
      <c r="AA914"/>
    </row>
    <row r="915" spans="1:27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 s="237"/>
      <c r="Q915" s="237"/>
      <c r="R915" s="237"/>
      <c r="S915" s="237"/>
      <c r="T915" s="237"/>
      <c r="U915" s="237"/>
      <c r="V915" s="237"/>
      <c r="W915"/>
      <c r="X915"/>
      <c r="Y915"/>
      <c r="Z915"/>
      <c r="AA915"/>
    </row>
    <row r="916" spans="1:27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 s="237"/>
      <c r="Q916" s="237"/>
      <c r="R916" s="237"/>
      <c r="S916" s="237"/>
      <c r="T916" s="237"/>
      <c r="U916" s="237"/>
      <c r="V916" s="237"/>
      <c r="W916"/>
      <c r="X916"/>
      <c r="Y916"/>
      <c r="Z916"/>
      <c r="AA916"/>
    </row>
    <row r="917" spans="1:27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 s="237"/>
      <c r="Q917" s="237"/>
      <c r="R917" s="237"/>
      <c r="S917" s="237"/>
      <c r="T917" s="237"/>
      <c r="U917" s="237"/>
      <c r="V917" s="237"/>
      <c r="W917"/>
      <c r="X917"/>
      <c r="Y917"/>
      <c r="Z917"/>
      <c r="AA917"/>
    </row>
    <row r="918" spans="1:27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 s="237"/>
      <c r="Q918" s="237"/>
      <c r="R918" s="237"/>
      <c r="S918" s="237"/>
      <c r="T918" s="237"/>
      <c r="U918" s="237"/>
      <c r="V918" s="237"/>
      <c r="W918"/>
      <c r="X918"/>
      <c r="Y918"/>
      <c r="Z918"/>
      <c r="AA918"/>
    </row>
    <row r="919" spans="1:27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 s="237"/>
      <c r="Q919" s="237"/>
      <c r="R919" s="237"/>
      <c r="S919" s="237"/>
      <c r="T919" s="237"/>
      <c r="U919" s="237"/>
      <c r="V919" s="237"/>
      <c r="W919"/>
      <c r="X919"/>
      <c r="Y919"/>
      <c r="Z919"/>
      <c r="AA919"/>
    </row>
    <row r="920" spans="1:27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 s="237"/>
      <c r="Q920" s="237"/>
      <c r="R920" s="237"/>
      <c r="S920" s="237"/>
      <c r="T920" s="237"/>
      <c r="U920" s="237"/>
      <c r="V920" s="237"/>
      <c r="W920"/>
      <c r="X920"/>
      <c r="Y920"/>
      <c r="Z920"/>
      <c r="AA920"/>
    </row>
    <row r="921" spans="1:27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 s="237"/>
      <c r="Q921" s="237"/>
      <c r="R921" s="237"/>
      <c r="S921" s="237"/>
      <c r="T921" s="237"/>
      <c r="U921" s="237"/>
      <c r="V921" s="237"/>
      <c r="W921"/>
      <c r="X921"/>
      <c r="Y921"/>
      <c r="Z921"/>
      <c r="AA921"/>
    </row>
    <row r="922" spans="1:27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 s="237"/>
      <c r="Q922" s="237"/>
      <c r="R922" s="237"/>
      <c r="S922" s="237"/>
      <c r="T922" s="237"/>
      <c r="U922" s="237"/>
      <c r="V922" s="237"/>
      <c r="W922"/>
      <c r="X922"/>
      <c r="Y922"/>
      <c r="Z922"/>
      <c r="AA922"/>
    </row>
    <row r="923" spans="1:27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 s="237"/>
      <c r="Q923" s="237"/>
      <c r="R923" s="237"/>
      <c r="S923" s="237"/>
      <c r="T923" s="237"/>
      <c r="U923" s="237"/>
      <c r="V923" s="237"/>
      <c r="W923"/>
      <c r="X923"/>
      <c r="Y923"/>
      <c r="Z923"/>
      <c r="AA923"/>
    </row>
    <row r="924" spans="1:27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 s="237"/>
      <c r="Q924" s="237"/>
      <c r="R924" s="237"/>
      <c r="S924" s="237"/>
      <c r="T924" s="237"/>
      <c r="U924" s="237"/>
      <c r="V924" s="237"/>
      <c r="W924"/>
      <c r="X924"/>
      <c r="Y924"/>
      <c r="Z924"/>
      <c r="AA924"/>
    </row>
    <row r="925" spans="1:27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 s="237"/>
      <c r="Q925" s="237"/>
      <c r="R925" s="237"/>
      <c r="S925" s="237"/>
      <c r="T925" s="237"/>
      <c r="U925" s="237"/>
      <c r="V925" s="237"/>
      <c r="W925"/>
      <c r="X925"/>
      <c r="Y925"/>
      <c r="Z925"/>
      <c r="AA925"/>
    </row>
    <row r="926" spans="1:27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 s="237"/>
      <c r="Q926" s="237"/>
      <c r="R926" s="237"/>
      <c r="S926" s="237"/>
      <c r="T926" s="237"/>
      <c r="U926" s="237"/>
      <c r="V926" s="237"/>
      <c r="W926"/>
      <c r="X926"/>
      <c r="Y926"/>
      <c r="Z926"/>
      <c r="AA926"/>
    </row>
    <row r="927" spans="1:27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 s="237"/>
      <c r="Q927" s="237"/>
      <c r="R927" s="237"/>
      <c r="S927" s="237"/>
      <c r="T927" s="237"/>
      <c r="U927" s="237"/>
      <c r="V927" s="237"/>
      <c r="W927"/>
      <c r="X927"/>
      <c r="Y927"/>
      <c r="Z927"/>
      <c r="AA927"/>
    </row>
    <row r="928" spans="1:27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 s="237"/>
      <c r="Q928" s="237"/>
      <c r="R928" s="237"/>
      <c r="S928" s="237"/>
      <c r="T928" s="237"/>
      <c r="U928" s="237"/>
      <c r="V928" s="237"/>
      <c r="W928"/>
      <c r="X928"/>
      <c r="Y928"/>
      <c r="Z928"/>
      <c r="AA928"/>
    </row>
    <row r="929" spans="1:27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 s="237"/>
      <c r="Q929" s="237"/>
      <c r="R929" s="237"/>
      <c r="S929" s="237"/>
      <c r="T929" s="237"/>
      <c r="U929" s="237"/>
      <c r="V929" s="237"/>
      <c r="W929"/>
      <c r="X929"/>
      <c r="Y929"/>
      <c r="Z929"/>
      <c r="AA929"/>
    </row>
    <row r="930" spans="1:27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 s="237"/>
      <c r="Q930" s="237"/>
      <c r="R930" s="237"/>
      <c r="S930" s="237"/>
      <c r="T930" s="237"/>
      <c r="U930" s="237"/>
      <c r="V930" s="237"/>
      <c r="W930"/>
      <c r="X930"/>
      <c r="Y930"/>
      <c r="Z930"/>
      <c r="AA930"/>
    </row>
    <row r="931" spans="1:27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 s="237"/>
      <c r="Q931" s="237"/>
      <c r="R931" s="237"/>
      <c r="S931" s="237"/>
      <c r="T931" s="237"/>
      <c r="U931" s="237"/>
      <c r="V931" s="237"/>
      <c r="W931"/>
      <c r="X931"/>
      <c r="Y931"/>
      <c r="Z931"/>
      <c r="AA931"/>
    </row>
    <row r="932" spans="1:27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 s="237"/>
      <c r="Q932" s="237"/>
      <c r="R932" s="237"/>
      <c r="S932" s="237"/>
      <c r="T932" s="237"/>
      <c r="U932" s="237"/>
      <c r="V932" s="237"/>
      <c r="W932"/>
      <c r="X932"/>
      <c r="Y932"/>
      <c r="Z932"/>
      <c r="AA932"/>
    </row>
    <row r="933" spans="1:27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 s="237"/>
      <c r="Q933" s="237"/>
      <c r="R933" s="237"/>
      <c r="S933" s="237"/>
      <c r="T933" s="237"/>
      <c r="U933" s="237"/>
      <c r="V933" s="237"/>
      <c r="W933"/>
      <c r="X933"/>
      <c r="Y933"/>
      <c r="Z933"/>
      <c r="AA933"/>
    </row>
    <row r="934" spans="1:27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 s="237"/>
      <c r="Q934" s="237"/>
      <c r="R934" s="237"/>
      <c r="S934" s="237"/>
      <c r="T934" s="237"/>
      <c r="U934" s="237"/>
      <c r="V934" s="237"/>
      <c r="W934"/>
      <c r="X934"/>
      <c r="Y934"/>
      <c r="Z934"/>
      <c r="AA934"/>
    </row>
    <row r="935" spans="1:27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 s="237"/>
      <c r="Q935" s="237"/>
      <c r="R935" s="237"/>
      <c r="S935" s="237"/>
      <c r="T935" s="237"/>
      <c r="U935" s="237"/>
      <c r="V935" s="237"/>
      <c r="W935"/>
      <c r="X935"/>
      <c r="Y935"/>
      <c r="Z935"/>
      <c r="AA935"/>
    </row>
    <row r="936" spans="1:27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 s="237"/>
      <c r="Q936" s="237"/>
      <c r="R936" s="237"/>
      <c r="S936" s="237"/>
      <c r="T936" s="237"/>
      <c r="U936" s="237"/>
      <c r="V936" s="237"/>
      <c r="W936"/>
      <c r="X936"/>
      <c r="Y936"/>
      <c r="Z936"/>
      <c r="AA936"/>
    </row>
    <row r="937" spans="1:27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 s="237"/>
      <c r="Q937" s="237"/>
      <c r="R937" s="237"/>
      <c r="S937" s="237"/>
      <c r="T937" s="237"/>
      <c r="U937" s="237"/>
      <c r="V937" s="237"/>
      <c r="W937"/>
      <c r="X937"/>
      <c r="Y937"/>
      <c r="Z937"/>
      <c r="AA937"/>
    </row>
    <row r="938" spans="1:27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 s="237"/>
      <c r="Q938" s="237"/>
      <c r="R938" s="237"/>
      <c r="S938" s="237"/>
      <c r="T938" s="237"/>
      <c r="U938" s="237"/>
      <c r="V938" s="237"/>
      <c r="W938"/>
      <c r="X938"/>
      <c r="Y938"/>
      <c r="Z938"/>
      <c r="AA938"/>
    </row>
    <row r="939" spans="1:27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 s="237"/>
      <c r="Q939" s="237"/>
      <c r="R939" s="237"/>
      <c r="S939" s="237"/>
      <c r="T939" s="237"/>
      <c r="U939" s="237"/>
      <c r="V939" s="237"/>
      <c r="W939"/>
      <c r="X939"/>
      <c r="Y939"/>
      <c r="Z939"/>
      <c r="AA939"/>
    </row>
    <row r="940" spans="1:27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 s="237"/>
      <c r="Q940" s="237"/>
      <c r="R940" s="237"/>
      <c r="S940" s="237"/>
      <c r="T940" s="237"/>
      <c r="U940" s="237"/>
      <c r="V940" s="237"/>
      <c r="W940"/>
      <c r="X940"/>
      <c r="Y940"/>
      <c r="Z940"/>
      <c r="AA940"/>
    </row>
    <row r="941" spans="1:27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 s="237"/>
      <c r="Q941" s="237"/>
      <c r="R941" s="237"/>
      <c r="S941" s="237"/>
      <c r="T941" s="237"/>
      <c r="U941" s="237"/>
      <c r="V941" s="237"/>
      <c r="W941"/>
      <c r="X941"/>
      <c r="Y941"/>
      <c r="Z941"/>
      <c r="AA941"/>
    </row>
    <row r="942" spans="1:27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 s="237"/>
      <c r="Q942" s="237"/>
      <c r="R942" s="237"/>
      <c r="S942" s="237"/>
      <c r="T942" s="237"/>
      <c r="U942" s="237"/>
      <c r="V942" s="237"/>
      <c r="W942"/>
      <c r="X942"/>
      <c r="Y942"/>
      <c r="Z942"/>
      <c r="AA942"/>
    </row>
    <row r="943" spans="1:27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 s="237"/>
      <c r="Q943" s="237"/>
      <c r="R943" s="237"/>
      <c r="S943" s="237"/>
      <c r="T943" s="237"/>
      <c r="U943" s="237"/>
      <c r="V943" s="237"/>
      <c r="W943"/>
      <c r="X943"/>
      <c r="Y943"/>
      <c r="Z943"/>
      <c r="AA943"/>
    </row>
    <row r="944" spans="1:27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 s="237"/>
      <c r="Q944" s="237"/>
      <c r="R944" s="237"/>
      <c r="S944" s="237"/>
      <c r="T944" s="237"/>
      <c r="U944" s="237"/>
      <c r="V944" s="237"/>
      <c r="W944"/>
      <c r="X944"/>
      <c r="Y944"/>
      <c r="Z944"/>
      <c r="AA944"/>
    </row>
    <row r="945" spans="1:27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 s="237"/>
      <c r="Q945" s="237"/>
      <c r="R945" s="237"/>
      <c r="S945" s="237"/>
      <c r="T945" s="237"/>
      <c r="U945" s="237"/>
      <c r="V945" s="237"/>
      <c r="W945"/>
      <c r="X945"/>
      <c r="Y945"/>
      <c r="Z945"/>
      <c r="AA945"/>
    </row>
    <row r="946" spans="1:27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 s="237"/>
      <c r="Q946" s="237"/>
      <c r="R946" s="237"/>
      <c r="S946" s="237"/>
      <c r="T946" s="237"/>
      <c r="U946" s="237"/>
      <c r="V946" s="237"/>
      <c r="W946"/>
      <c r="X946"/>
      <c r="Y946"/>
      <c r="Z946"/>
      <c r="AA946"/>
    </row>
    <row r="947" spans="1:27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 s="237"/>
      <c r="Q947" s="237"/>
      <c r="R947" s="237"/>
      <c r="S947" s="237"/>
      <c r="T947" s="237"/>
      <c r="U947" s="237"/>
      <c r="V947" s="237"/>
      <c r="W947"/>
      <c r="X947"/>
      <c r="Y947"/>
      <c r="Z947"/>
      <c r="AA947"/>
    </row>
    <row r="948" spans="1:27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 s="237"/>
      <c r="Q948" s="237"/>
      <c r="R948" s="237"/>
      <c r="S948" s="237"/>
      <c r="T948" s="237"/>
      <c r="U948" s="237"/>
      <c r="V948" s="237"/>
      <c r="W948"/>
      <c r="X948"/>
      <c r="Y948"/>
      <c r="Z948"/>
      <c r="AA948"/>
    </row>
    <row r="949" spans="1:27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 s="237"/>
      <c r="Q949" s="237"/>
      <c r="R949" s="237"/>
      <c r="S949" s="237"/>
      <c r="T949" s="237"/>
      <c r="U949" s="237"/>
      <c r="V949" s="237"/>
      <c r="W949"/>
      <c r="X949"/>
      <c r="Y949"/>
      <c r="Z949"/>
      <c r="AA949"/>
    </row>
    <row r="950" spans="1:27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 s="237"/>
      <c r="Q950" s="237"/>
      <c r="R950" s="237"/>
      <c r="S950" s="237"/>
      <c r="T950" s="237"/>
      <c r="U950" s="237"/>
      <c r="V950" s="237"/>
      <c r="W950"/>
      <c r="X950"/>
      <c r="Y950"/>
      <c r="Z950"/>
      <c r="AA950"/>
    </row>
    <row r="951" spans="1:27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 s="237"/>
      <c r="Q951" s="237"/>
      <c r="R951" s="237"/>
      <c r="S951" s="237"/>
      <c r="T951" s="237"/>
      <c r="U951" s="237"/>
      <c r="V951" s="237"/>
      <c r="W951"/>
      <c r="X951"/>
      <c r="Y951"/>
      <c r="Z951"/>
      <c r="AA951"/>
    </row>
    <row r="952" spans="1:27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 s="237"/>
      <c r="Q952" s="237"/>
      <c r="R952" s="237"/>
      <c r="S952" s="237"/>
      <c r="T952" s="237"/>
      <c r="U952" s="237"/>
      <c r="V952" s="237"/>
      <c r="W952"/>
      <c r="X952"/>
      <c r="Y952"/>
      <c r="Z952"/>
      <c r="AA952"/>
    </row>
    <row r="953" spans="1:27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 s="237"/>
      <c r="Q953" s="237"/>
      <c r="R953" s="237"/>
      <c r="S953" s="237"/>
      <c r="T953" s="237"/>
      <c r="U953" s="237"/>
      <c r="V953" s="237"/>
      <c r="W953"/>
      <c r="X953"/>
      <c r="Y953"/>
      <c r="Z953"/>
      <c r="AA953"/>
    </row>
    <row r="954" spans="1:27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 s="237"/>
      <c r="Q954" s="237"/>
      <c r="R954" s="237"/>
      <c r="S954" s="237"/>
      <c r="T954" s="237"/>
      <c r="U954" s="237"/>
      <c r="V954" s="237"/>
      <c r="W954"/>
      <c r="X954"/>
      <c r="Y954"/>
      <c r="Z954"/>
      <c r="AA954"/>
    </row>
    <row r="955" spans="1:27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 s="237"/>
      <c r="Q955" s="237"/>
      <c r="R955" s="237"/>
      <c r="S955" s="237"/>
      <c r="T955" s="237"/>
      <c r="U955" s="237"/>
      <c r="V955" s="237"/>
      <c r="W955"/>
      <c r="X955"/>
      <c r="Y955"/>
      <c r="Z955"/>
      <c r="AA955"/>
    </row>
    <row r="956" spans="1:27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 s="237"/>
      <c r="Q956" s="237"/>
      <c r="R956" s="237"/>
      <c r="S956" s="237"/>
      <c r="T956" s="237"/>
      <c r="U956" s="237"/>
      <c r="V956" s="237"/>
      <c r="W956"/>
      <c r="X956"/>
      <c r="Y956"/>
      <c r="Z956"/>
      <c r="AA956"/>
    </row>
    <row r="957" spans="1:27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 s="237"/>
      <c r="Q957" s="237"/>
      <c r="R957" s="237"/>
      <c r="S957" s="237"/>
      <c r="T957" s="237"/>
      <c r="U957" s="237"/>
      <c r="V957" s="237"/>
      <c r="W957"/>
      <c r="X957"/>
      <c r="Y957"/>
      <c r="Z957"/>
      <c r="AA957"/>
    </row>
    <row r="958" spans="1:27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 s="237"/>
      <c r="Q958" s="237"/>
      <c r="R958" s="237"/>
      <c r="S958" s="237"/>
      <c r="T958" s="237"/>
      <c r="U958" s="237"/>
      <c r="V958" s="237"/>
      <c r="W958"/>
      <c r="X958"/>
      <c r="Y958"/>
      <c r="Z958"/>
      <c r="AA958"/>
    </row>
    <row r="959" spans="1:27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 s="237"/>
      <c r="Q959" s="237"/>
      <c r="R959" s="237"/>
      <c r="S959" s="237"/>
      <c r="T959" s="237"/>
      <c r="U959" s="237"/>
      <c r="V959" s="237"/>
      <c r="W959"/>
      <c r="X959"/>
      <c r="Y959"/>
      <c r="Z959"/>
      <c r="AA959"/>
    </row>
    <row r="960" spans="1:27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 s="237"/>
      <c r="Q960" s="237"/>
      <c r="R960" s="237"/>
      <c r="S960" s="237"/>
      <c r="T960" s="237"/>
      <c r="U960" s="237"/>
      <c r="V960" s="237"/>
      <c r="W960"/>
      <c r="X960"/>
      <c r="Y960"/>
      <c r="Z960"/>
      <c r="AA960"/>
    </row>
    <row r="961" spans="1:27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 s="237"/>
      <c r="Q961" s="237"/>
      <c r="R961" s="237"/>
      <c r="S961" s="237"/>
      <c r="T961" s="237"/>
      <c r="U961" s="237"/>
      <c r="V961" s="237"/>
      <c r="W961"/>
      <c r="X961"/>
      <c r="Y961"/>
      <c r="Z961"/>
      <c r="AA961"/>
    </row>
    <row r="962" spans="1:27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 s="237"/>
      <c r="Q962" s="237"/>
      <c r="R962" s="237"/>
      <c r="S962" s="237"/>
      <c r="T962" s="237"/>
      <c r="U962" s="237"/>
      <c r="V962" s="237"/>
      <c r="W962"/>
      <c r="X962"/>
      <c r="Y962"/>
      <c r="Z962"/>
      <c r="AA962"/>
    </row>
    <row r="963" spans="1:27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 s="237"/>
      <c r="Q963" s="237"/>
      <c r="R963" s="237"/>
      <c r="S963" s="237"/>
      <c r="T963" s="237"/>
      <c r="U963" s="237"/>
      <c r="V963" s="237"/>
      <c r="W963"/>
      <c r="X963"/>
      <c r="Y963"/>
      <c r="Z963"/>
      <c r="AA963"/>
    </row>
    <row r="964" spans="1:27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 s="237"/>
      <c r="Q964" s="237"/>
      <c r="R964" s="237"/>
      <c r="S964" s="237"/>
      <c r="T964" s="237"/>
      <c r="U964" s="237"/>
      <c r="V964" s="237"/>
      <c r="W964"/>
      <c r="X964"/>
      <c r="Y964"/>
      <c r="Z964"/>
      <c r="AA964"/>
    </row>
    <row r="965" spans="1:27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 s="237"/>
      <c r="Q965" s="237"/>
      <c r="R965" s="237"/>
      <c r="S965" s="237"/>
      <c r="T965" s="237"/>
      <c r="U965" s="237"/>
      <c r="V965" s="237"/>
      <c r="W965"/>
      <c r="X965"/>
      <c r="Y965"/>
      <c r="Z965"/>
      <c r="AA965"/>
    </row>
    <row r="966" spans="1:27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 s="237"/>
      <c r="Q966" s="237"/>
      <c r="R966" s="237"/>
      <c r="S966" s="237"/>
      <c r="T966" s="237"/>
      <c r="U966" s="237"/>
      <c r="V966" s="237"/>
      <c r="W966"/>
      <c r="X966"/>
      <c r="Y966"/>
      <c r="Z966"/>
      <c r="AA966"/>
    </row>
    <row r="967" spans="1:27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 s="237"/>
      <c r="Q967" s="237"/>
      <c r="R967" s="237"/>
      <c r="S967" s="237"/>
      <c r="T967" s="237"/>
      <c r="U967" s="237"/>
      <c r="V967" s="237"/>
      <c r="W967"/>
      <c r="X967"/>
      <c r="Y967"/>
      <c r="Z967"/>
      <c r="AA967"/>
    </row>
    <row r="968" spans="1:27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 s="237"/>
      <c r="Q968" s="237"/>
      <c r="R968" s="237"/>
      <c r="S968" s="237"/>
      <c r="T968" s="237"/>
      <c r="U968" s="237"/>
      <c r="V968" s="237"/>
      <c r="W968"/>
      <c r="X968"/>
      <c r="Y968"/>
      <c r="Z968"/>
      <c r="AA968"/>
    </row>
    <row r="969" spans="1:27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 s="237"/>
      <c r="Q969" s="237"/>
      <c r="R969" s="237"/>
      <c r="S969" s="237"/>
      <c r="T969" s="237"/>
      <c r="U969" s="237"/>
      <c r="V969" s="237"/>
      <c r="W969"/>
      <c r="X969"/>
      <c r="Y969"/>
      <c r="Z969"/>
      <c r="AA969"/>
    </row>
    <row r="970" spans="1:27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 s="237"/>
      <c r="Q970" s="237"/>
      <c r="R970" s="237"/>
      <c r="S970" s="237"/>
      <c r="T970" s="237"/>
      <c r="U970" s="237"/>
      <c r="V970" s="237"/>
      <c r="W970"/>
      <c r="X970"/>
      <c r="Y970"/>
      <c r="Z970"/>
      <c r="AA970"/>
    </row>
    <row r="971" spans="1:27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 s="237"/>
      <c r="Q971" s="237"/>
      <c r="R971" s="237"/>
      <c r="S971" s="237"/>
      <c r="T971" s="237"/>
      <c r="U971" s="237"/>
      <c r="V971" s="237"/>
      <c r="W971"/>
      <c r="X971"/>
      <c r="Y971"/>
      <c r="Z971"/>
      <c r="AA971"/>
    </row>
    <row r="972" spans="1:27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 s="237"/>
      <c r="Q972" s="237"/>
      <c r="R972" s="237"/>
      <c r="S972" s="237"/>
      <c r="T972" s="237"/>
      <c r="U972" s="237"/>
      <c r="V972" s="237"/>
      <c r="W972"/>
      <c r="X972"/>
      <c r="Y972"/>
      <c r="Z972"/>
      <c r="AA972"/>
    </row>
    <row r="973" spans="1:27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 s="237"/>
      <c r="Q973" s="237"/>
      <c r="R973" s="237"/>
      <c r="S973" s="237"/>
      <c r="T973" s="237"/>
      <c r="U973" s="237"/>
      <c r="V973" s="237"/>
      <c r="W973"/>
      <c r="X973"/>
      <c r="Y973"/>
      <c r="Z973"/>
      <c r="AA973"/>
    </row>
    <row r="974" spans="1:27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 s="237"/>
      <c r="Q974" s="237"/>
      <c r="R974" s="237"/>
      <c r="S974" s="237"/>
      <c r="T974" s="237"/>
      <c r="U974" s="237"/>
      <c r="V974" s="237"/>
      <c r="W974"/>
      <c r="X974"/>
      <c r="Y974"/>
      <c r="Z974"/>
      <c r="AA974"/>
    </row>
    <row r="975" spans="1:27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 s="237"/>
      <c r="Q975" s="237"/>
      <c r="R975" s="237"/>
      <c r="S975" s="237"/>
      <c r="T975" s="237"/>
      <c r="U975" s="237"/>
      <c r="V975" s="237"/>
      <c r="W975"/>
      <c r="X975"/>
      <c r="Y975"/>
      <c r="Z975"/>
      <c r="AA975"/>
    </row>
    <row r="976" spans="1:27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 s="237"/>
      <c r="Q976" s="237"/>
      <c r="R976" s="237"/>
      <c r="S976" s="237"/>
      <c r="T976" s="237"/>
      <c r="U976" s="237"/>
      <c r="V976" s="237"/>
      <c r="W976"/>
      <c r="X976"/>
      <c r="Y976"/>
      <c r="Z976"/>
      <c r="AA976"/>
    </row>
    <row r="977" spans="1:27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 s="237"/>
      <c r="Q977" s="237"/>
      <c r="R977" s="237"/>
      <c r="S977" s="237"/>
      <c r="T977" s="237"/>
      <c r="U977" s="237"/>
      <c r="V977" s="237"/>
      <c r="W977"/>
      <c r="X977"/>
      <c r="Y977"/>
      <c r="Z977"/>
      <c r="AA977"/>
    </row>
    <row r="978" spans="1:27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 s="237"/>
      <c r="Q978" s="237"/>
      <c r="R978" s="237"/>
      <c r="S978" s="237"/>
      <c r="T978" s="237"/>
      <c r="U978" s="237"/>
      <c r="V978" s="237"/>
      <c r="W978"/>
      <c r="X978"/>
      <c r="Y978"/>
      <c r="Z978"/>
      <c r="AA978"/>
    </row>
    <row r="979" spans="1:27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 s="237"/>
      <c r="Q979" s="237"/>
      <c r="R979" s="237"/>
      <c r="S979" s="237"/>
      <c r="T979" s="237"/>
      <c r="U979" s="237"/>
      <c r="V979" s="237"/>
      <c r="W979"/>
      <c r="X979"/>
      <c r="Y979"/>
      <c r="Z979"/>
      <c r="AA979"/>
    </row>
    <row r="980" spans="1:27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 s="237"/>
      <c r="Q980" s="237"/>
      <c r="R980" s="237"/>
      <c r="S980" s="237"/>
      <c r="T980" s="237"/>
      <c r="U980" s="237"/>
      <c r="V980" s="237"/>
      <c r="W980"/>
      <c r="X980"/>
      <c r="Y980"/>
      <c r="Z980"/>
      <c r="AA980"/>
    </row>
    <row r="981" spans="1:27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 s="237"/>
      <c r="Q981" s="237"/>
      <c r="R981" s="237"/>
      <c r="S981" s="237"/>
      <c r="T981" s="237"/>
      <c r="U981" s="237"/>
      <c r="V981" s="237"/>
      <c r="W981"/>
      <c r="X981"/>
      <c r="Y981"/>
      <c r="Z981"/>
      <c r="AA981"/>
    </row>
    <row r="982" spans="1:27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 s="237"/>
      <c r="Q982" s="237"/>
      <c r="R982" s="237"/>
      <c r="S982" s="237"/>
      <c r="T982" s="237"/>
      <c r="U982" s="237"/>
      <c r="V982" s="237"/>
      <c r="W982"/>
      <c r="X982"/>
      <c r="Y982"/>
      <c r="Z982"/>
      <c r="AA982"/>
    </row>
    <row r="983" spans="1:27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 s="237"/>
      <c r="Q983" s="237"/>
      <c r="R983" s="237"/>
      <c r="S983" s="237"/>
      <c r="T983" s="237"/>
      <c r="U983" s="237"/>
      <c r="V983" s="237"/>
      <c r="W983"/>
      <c r="X983"/>
      <c r="Y983"/>
      <c r="Z983"/>
      <c r="AA983"/>
    </row>
    <row r="984" spans="1:27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 s="237"/>
      <c r="Q984" s="237"/>
      <c r="R984" s="237"/>
      <c r="S984" s="237"/>
      <c r="T984" s="237"/>
      <c r="U984" s="237"/>
      <c r="V984" s="237"/>
      <c r="W984"/>
      <c r="X984"/>
      <c r="Y984"/>
      <c r="Z984"/>
      <c r="AA984"/>
    </row>
    <row r="985" spans="1:27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 s="237"/>
      <c r="Q985" s="237"/>
      <c r="R985" s="237"/>
      <c r="S985" s="237"/>
      <c r="T985" s="237"/>
      <c r="U985" s="237"/>
      <c r="V985" s="237"/>
      <c r="W985"/>
      <c r="X985"/>
      <c r="Y985"/>
      <c r="Z985"/>
      <c r="AA985"/>
    </row>
    <row r="986" spans="1:27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 s="237"/>
      <c r="Q986" s="237"/>
      <c r="R986" s="237"/>
      <c r="S986" s="237"/>
      <c r="T986" s="237"/>
      <c r="U986" s="237"/>
      <c r="V986" s="237"/>
      <c r="W986"/>
      <c r="X986"/>
      <c r="Y986"/>
      <c r="Z986"/>
      <c r="AA986"/>
    </row>
    <row r="987" spans="1:27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 s="237"/>
      <c r="Q987" s="237"/>
      <c r="R987" s="237"/>
      <c r="S987" s="237"/>
      <c r="T987" s="237"/>
      <c r="U987" s="237"/>
      <c r="V987" s="237"/>
      <c r="W987"/>
      <c r="X987"/>
      <c r="Y987"/>
      <c r="Z987"/>
      <c r="AA987"/>
    </row>
    <row r="988" spans="1:27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 s="237"/>
      <c r="Q988" s="237"/>
      <c r="R988" s="237"/>
      <c r="S988" s="237"/>
      <c r="T988" s="237"/>
      <c r="U988" s="237"/>
      <c r="V988" s="237"/>
      <c r="W988"/>
      <c r="X988"/>
      <c r="Y988"/>
      <c r="Z988"/>
      <c r="AA988"/>
    </row>
    <row r="989" spans="1:27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 s="237"/>
      <c r="Q989" s="237"/>
      <c r="R989" s="237"/>
      <c r="S989" s="237"/>
      <c r="T989" s="237"/>
      <c r="U989" s="237"/>
      <c r="V989" s="237"/>
      <c r="W989"/>
      <c r="X989"/>
      <c r="Y989"/>
      <c r="Z989"/>
      <c r="AA989"/>
    </row>
    <row r="990" spans="1:27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 s="237"/>
      <c r="Q990" s="237"/>
      <c r="R990" s="237"/>
      <c r="S990" s="237"/>
      <c r="T990" s="237"/>
      <c r="U990" s="237"/>
      <c r="V990" s="237"/>
      <c r="W990"/>
      <c r="X990"/>
      <c r="Y990"/>
      <c r="Z990"/>
      <c r="AA990"/>
    </row>
    <row r="991" spans="1:27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 s="237"/>
      <c r="Q991" s="237"/>
      <c r="R991" s="237"/>
      <c r="S991" s="237"/>
      <c r="T991" s="237"/>
      <c r="U991" s="237"/>
      <c r="V991" s="237"/>
      <c r="W991"/>
      <c r="X991"/>
      <c r="Y991"/>
      <c r="Z991"/>
      <c r="AA991"/>
    </row>
    <row r="992" spans="1:27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 s="237"/>
      <c r="Q992" s="237"/>
      <c r="R992" s="237"/>
      <c r="S992" s="237"/>
      <c r="T992" s="237"/>
      <c r="U992" s="237"/>
      <c r="V992" s="237"/>
      <c r="W992"/>
      <c r="X992"/>
      <c r="Y992"/>
      <c r="Z992"/>
      <c r="AA992"/>
    </row>
    <row r="993" spans="1:27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 s="237"/>
      <c r="Q993" s="237"/>
      <c r="R993" s="237"/>
      <c r="S993" s="237"/>
      <c r="T993" s="237"/>
      <c r="U993" s="237"/>
      <c r="V993" s="237"/>
      <c r="W993"/>
      <c r="X993"/>
      <c r="Y993"/>
      <c r="Z993"/>
      <c r="AA993"/>
    </row>
    <row r="994" spans="1:27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 s="237"/>
      <c r="Q994" s="237"/>
      <c r="R994" s="237"/>
      <c r="S994" s="237"/>
      <c r="T994" s="237"/>
      <c r="U994" s="237"/>
      <c r="V994" s="237"/>
      <c r="W994"/>
      <c r="X994"/>
      <c r="Y994"/>
      <c r="Z994"/>
      <c r="AA994"/>
    </row>
    <row r="995" spans="1:27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 s="237"/>
      <c r="Q995" s="237"/>
      <c r="R995" s="237"/>
      <c r="S995" s="237"/>
      <c r="T995" s="237"/>
      <c r="U995" s="237"/>
      <c r="V995" s="237"/>
      <c r="W995"/>
      <c r="X995"/>
      <c r="Y995"/>
      <c r="Z995"/>
      <c r="AA995"/>
    </row>
    <row r="996" spans="1:27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 s="237"/>
      <c r="Q996" s="237"/>
      <c r="R996" s="237"/>
      <c r="S996" s="237"/>
      <c r="T996" s="237"/>
      <c r="U996" s="237"/>
      <c r="V996" s="237"/>
      <c r="W996"/>
      <c r="X996"/>
      <c r="Y996"/>
      <c r="Z996"/>
      <c r="AA996"/>
    </row>
    <row r="997" spans="1:27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 s="237"/>
      <c r="Q997" s="237"/>
      <c r="R997" s="237"/>
      <c r="S997" s="237"/>
      <c r="T997" s="237"/>
      <c r="U997" s="237"/>
      <c r="V997" s="237"/>
      <c r="W997"/>
      <c r="X997"/>
      <c r="Y997"/>
      <c r="Z997"/>
      <c r="AA997"/>
    </row>
    <row r="998" spans="1:27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 s="237"/>
      <c r="Q998" s="237"/>
      <c r="R998" s="237"/>
      <c r="S998" s="237"/>
      <c r="T998" s="237"/>
      <c r="U998" s="237"/>
      <c r="V998" s="237"/>
      <c r="W998"/>
      <c r="X998"/>
      <c r="Y998"/>
      <c r="Z998"/>
      <c r="AA998"/>
    </row>
    <row r="999" spans="1:27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 s="237"/>
      <c r="Q999" s="237"/>
      <c r="R999" s="237"/>
      <c r="S999" s="237"/>
      <c r="T999" s="237"/>
      <c r="U999" s="237"/>
      <c r="V999" s="237"/>
      <c r="W999"/>
      <c r="X999"/>
      <c r="Y999"/>
      <c r="Z999"/>
      <c r="AA999"/>
    </row>
    <row r="1000" spans="1:27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 s="237"/>
      <c r="Q1000" s="237"/>
      <c r="R1000" s="237"/>
      <c r="S1000" s="237"/>
      <c r="T1000" s="237"/>
      <c r="U1000" s="237"/>
      <c r="V1000" s="237"/>
      <c r="W1000"/>
      <c r="X1000"/>
      <c r="Y1000"/>
      <c r="Z1000"/>
      <c r="AA1000"/>
    </row>
    <row r="1001" spans="1:27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 s="237"/>
      <c r="Q1001" s="237"/>
      <c r="R1001" s="237"/>
      <c r="S1001" s="237"/>
      <c r="T1001" s="237"/>
      <c r="U1001" s="237"/>
      <c r="V1001" s="237"/>
      <c r="W1001"/>
      <c r="X1001"/>
      <c r="Y1001"/>
      <c r="Z1001"/>
      <c r="AA1001"/>
    </row>
    <row r="1002" spans="1:27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 s="237"/>
      <c r="Q1002" s="237"/>
      <c r="R1002" s="237"/>
      <c r="S1002" s="237"/>
      <c r="T1002" s="237"/>
      <c r="U1002" s="237"/>
      <c r="V1002" s="237"/>
      <c r="W1002"/>
      <c r="X1002"/>
      <c r="Y1002"/>
      <c r="Z1002"/>
      <c r="AA1002"/>
    </row>
    <row r="1003" spans="1:27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 s="237"/>
      <c r="Q1003" s="237"/>
      <c r="R1003" s="237"/>
      <c r="S1003" s="237"/>
      <c r="T1003" s="237"/>
      <c r="U1003" s="237"/>
      <c r="V1003" s="237"/>
      <c r="W1003"/>
      <c r="X1003"/>
      <c r="Y1003"/>
      <c r="Z1003"/>
      <c r="AA1003"/>
    </row>
    <row r="1004" spans="1:27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 s="237"/>
      <c r="Q1004" s="237"/>
      <c r="R1004" s="237"/>
      <c r="S1004" s="237"/>
      <c r="T1004" s="237"/>
      <c r="U1004" s="237"/>
      <c r="V1004" s="237"/>
      <c r="W1004"/>
      <c r="X1004"/>
      <c r="Y1004"/>
      <c r="Z1004"/>
      <c r="AA1004"/>
    </row>
    <row r="1005" spans="1:27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 s="237"/>
      <c r="Q1005" s="237"/>
      <c r="R1005" s="237"/>
      <c r="S1005" s="237"/>
      <c r="T1005" s="237"/>
      <c r="U1005" s="237"/>
      <c r="V1005" s="237"/>
      <c r="W1005"/>
      <c r="X1005"/>
      <c r="Y1005"/>
      <c r="Z1005"/>
      <c r="AA1005"/>
    </row>
    <row r="1006" spans="1:27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 s="237"/>
      <c r="Q1006" s="237"/>
      <c r="R1006" s="237"/>
      <c r="S1006" s="237"/>
      <c r="T1006" s="237"/>
      <c r="U1006" s="237"/>
      <c r="V1006" s="237"/>
      <c r="W1006"/>
      <c r="X1006"/>
      <c r="Y1006"/>
      <c r="Z1006"/>
      <c r="AA1006"/>
    </row>
  </sheetData>
  <sheetProtection/>
  <mergeCells count="23">
    <mergeCell ref="B272:C272"/>
    <mergeCell ref="B276:C276"/>
    <mergeCell ref="B280:C280"/>
    <mergeCell ref="B268:C268"/>
    <mergeCell ref="B1:C1"/>
    <mergeCell ref="B3:O3"/>
    <mergeCell ref="B4:O4"/>
    <mergeCell ref="B6:D8"/>
    <mergeCell ref="E6:E8"/>
    <mergeCell ref="F6:F8"/>
    <mergeCell ref="G6:K6"/>
    <mergeCell ref="J7:J8"/>
    <mergeCell ref="I7:I8"/>
    <mergeCell ref="A6:A8"/>
    <mergeCell ref="H7:H8"/>
    <mergeCell ref="K7:K8"/>
    <mergeCell ref="G7:G8"/>
    <mergeCell ref="P6:P8"/>
    <mergeCell ref="O6:O8"/>
    <mergeCell ref="L7:L8"/>
    <mergeCell ref="N6:N8"/>
    <mergeCell ref="L6:M6"/>
    <mergeCell ref="M7:M8"/>
  </mergeCells>
  <printOptions horizontalCentered="1"/>
  <pageMargins left="0.3937007874015748" right="0.3937007874015748" top="0.37" bottom="0.24" header="0.17" footer="0.16"/>
  <pageSetup horizontalDpi="600" verticalDpi="600" orientation="landscape" paperSize="9" scale="59" r:id="rId1"/>
  <headerFooter alignWithMargins="0">
    <oddHeader>&amp;L 5. melléklet a 8/2014.(V.5.) önkormányzati rendelethez
</oddHeader>
  </headerFooter>
  <rowBreaks count="3" manualBreakCount="3">
    <brk id="71" max="15" man="1"/>
    <brk id="143" max="15" man="1"/>
    <brk id="2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O90"/>
  <sheetViews>
    <sheetView view="pageLayout" zoomScaleSheetLayoutView="100" workbookViewId="0" topLeftCell="A1">
      <selection activeCell="C16" sqref="C16"/>
    </sheetView>
  </sheetViews>
  <sheetFormatPr defaultColWidth="9.00390625" defaultRowHeight="12.75"/>
  <cols>
    <col min="1" max="1" width="13.875" style="209" customWidth="1"/>
    <col min="2" max="2" width="8.00390625" style="210" customWidth="1"/>
    <col min="3" max="3" width="65.00390625" style="209" customWidth="1"/>
    <col min="4" max="4" width="11.25390625" style="211" customWidth="1"/>
    <col min="5" max="5" width="9.25390625" style="212" customWidth="1"/>
    <col min="6" max="6" width="9.00390625" style="209" customWidth="1"/>
    <col min="7" max="7" width="9.875" style="209" customWidth="1"/>
    <col min="8" max="8" width="8.75390625" style="209" customWidth="1"/>
    <col min="9" max="9" width="9.625" style="209" customWidth="1"/>
    <col min="10" max="10" width="9.375" style="209" customWidth="1"/>
    <col min="11" max="11" width="10.125" style="209" customWidth="1"/>
    <col min="12" max="12" width="9.375" style="209" customWidth="1"/>
    <col min="13" max="13" width="9.125" style="209" customWidth="1"/>
    <col min="14" max="14" width="8.875" style="214" customWidth="1"/>
    <col min="15" max="15" width="10.875" style="209" customWidth="1"/>
    <col min="16" max="16384" width="9.125" style="209" customWidth="1"/>
  </cols>
  <sheetData>
    <row r="2" spans="1:15" ht="14.25">
      <c r="A2" s="1375" t="s">
        <v>1251</v>
      </c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</row>
    <row r="3" spans="13:15" ht="13.5" thickBot="1">
      <c r="M3" s="212"/>
      <c r="N3" s="215"/>
      <c r="O3" s="215"/>
    </row>
    <row r="4" spans="1:15" ht="12.75">
      <c r="A4" s="1381"/>
      <c r="B4" s="1377" t="s">
        <v>216</v>
      </c>
      <c r="C4" s="1377"/>
      <c r="D4" s="1377"/>
      <c r="E4" s="1378" t="s">
        <v>533</v>
      </c>
      <c r="F4" s="1377" t="s">
        <v>534</v>
      </c>
      <c r="G4" s="1367" t="s">
        <v>177</v>
      </c>
      <c r="H4" s="1367"/>
      <c r="I4" s="1367"/>
      <c r="J4" s="1367"/>
      <c r="K4" s="1367"/>
      <c r="L4" s="1367" t="s">
        <v>178</v>
      </c>
      <c r="M4" s="1367"/>
      <c r="N4" s="1364" t="s">
        <v>535</v>
      </c>
      <c r="O4" s="1384" t="s">
        <v>536</v>
      </c>
    </row>
    <row r="5" spans="1:15" ht="12.75">
      <c r="A5" s="1382"/>
      <c r="B5" s="1362"/>
      <c r="C5" s="1362"/>
      <c r="D5" s="1362"/>
      <c r="E5" s="1379"/>
      <c r="F5" s="1362"/>
      <c r="G5" s="1365" t="s">
        <v>537</v>
      </c>
      <c r="H5" s="1365" t="s">
        <v>538</v>
      </c>
      <c r="I5" s="1365" t="s">
        <v>539</v>
      </c>
      <c r="J5" s="1365" t="s">
        <v>540</v>
      </c>
      <c r="K5" s="1365" t="s">
        <v>541</v>
      </c>
      <c r="L5" s="1362" t="s">
        <v>145</v>
      </c>
      <c r="M5" s="1362" t="s">
        <v>143</v>
      </c>
      <c r="N5" s="1365"/>
      <c r="O5" s="1385"/>
    </row>
    <row r="6" spans="1:15" ht="13.5" customHeight="1" thickBot="1">
      <c r="A6" s="1383"/>
      <c r="B6" s="1363"/>
      <c r="C6" s="1363"/>
      <c r="D6" s="1363"/>
      <c r="E6" s="1380"/>
      <c r="F6" s="1363"/>
      <c r="G6" s="1366"/>
      <c r="H6" s="1366"/>
      <c r="I6" s="1366"/>
      <c r="J6" s="1366"/>
      <c r="K6" s="1366"/>
      <c r="L6" s="1363"/>
      <c r="M6" s="1363"/>
      <c r="N6" s="1366"/>
      <c r="O6" s="1386"/>
    </row>
    <row r="7" spans="1:15" ht="12.75" customHeight="1">
      <c r="A7" s="216" t="s">
        <v>542</v>
      </c>
      <c r="B7" s="660">
        <v>421100</v>
      </c>
      <c r="C7" s="661" t="s">
        <v>593</v>
      </c>
      <c r="D7" s="662" t="s">
        <v>874</v>
      </c>
      <c r="E7" s="217"/>
      <c r="F7" s="408">
        <f>SUM(G7:O7)</f>
        <v>0</v>
      </c>
      <c r="G7" s="219"/>
      <c r="H7" s="219"/>
      <c r="I7" s="219"/>
      <c r="J7" s="219"/>
      <c r="K7" s="219"/>
      <c r="L7" s="218"/>
      <c r="M7" s="218"/>
      <c r="N7" s="219"/>
      <c r="O7" s="220"/>
    </row>
    <row r="8" spans="1:15" s="240" customFormat="1" ht="12.75" customHeight="1">
      <c r="A8" s="239"/>
      <c r="B8" s="532"/>
      <c r="C8" s="533"/>
      <c r="D8" s="644" t="s">
        <v>33</v>
      </c>
      <c r="E8" s="645"/>
      <c r="F8" s="531">
        <f aca="true" t="shared" si="0" ref="F8:F63">SUM(G8:O8)</f>
        <v>0</v>
      </c>
      <c r="G8" s="534"/>
      <c r="H8" s="534"/>
      <c r="I8" s="534"/>
      <c r="J8" s="534"/>
      <c r="K8" s="534"/>
      <c r="L8" s="535"/>
      <c r="M8" s="535"/>
      <c r="N8" s="534"/>
      <c r="O8" s="536"/>
    </row>
    <row r="9" spans="1:15" s="240" customFormat="1" ht="12.75" customHeight="1">
      <c r="A9" s="239"/>
      <c r="B9" s="532"/>
      <c r="C9" s="533"/>
      <c r="D9" s="644" t="s">
        <v>321</v>
      </c>
      <c r="E9" s="645"/>
      <c r="F9" s="531">
        <v>0</v>
      </c>
      <c r="G9" s="534"/>
      <c r="H9" s="534"/>
      <c r="I9" s="534"/>
      <c r="J9" s="534"/>
      <c r="K9" s="534"/>
      <c r="L9" s="535"/>
      <c r="M9" s="535"/>
      <c r="N9" s="534"/>
      <c r="O9" s="536"/>
    </row>
    <row r="10" spans="1:15" ht="12.75" customHeight="1">
      <c r="A10" s="221" t="s">
        <v>543</v>
      </c>
      <c r="B10" s="537" t="s">
        <v>594</v>
      </c>
      <c r="C10" s="421" t="s">
        <v>595</v>
      </c>
      <c r="D10" s="236" t="s">
        <v>874</v>
      </c>
      <c r="E10" s="223">
        <v>2440</v>
      </c>
      <c r="F10" s="531">
        <f t="shared" si="0"/>
        <v>3609</v>
      </c>
      <c r="G10" s="224"/>
      <c r="H10" s="224"/>
      <c r="I10" s="224">
        <v>3609</v>
      </c>
      <c r="J10" s="224"/>
      <c r="K10" s="224"/>
      <c r="L10" s="224"/>
      <c r="M10" s="224"/>
      <c r="N10" s="224"/>
      <c r="O10" s="225"/>
    </row>
    <row r="11" spans="1:15" ht="12.75" customHeight="1">
      <c r="A11" s="221"/>
      <c r="B11" s="537"/>
      <c r="C11" s="421"/>
      <c r="D11" s="644" t="s">
        <v>33</v>
      </c>
      <c r="E11" s="223">
        <v>7</v>
      </c>
      <c r="F11" s="531">
        <f t="shared" si="0"/>
        <v>33</v>
      </c>
      <c r="G11" s="224"/>
      <c r="H11" s="224"/>
      <c r="I11" s="224">
        <v>33</v>
      </c>
      <c r="J11" s="224"/>
      <c r="K11" s="224"/>
      <c r="L11" s="224"/>
      <c r="M11" s="224"/>
      <c r="N11" s="224"/>
      <c r="O11" s="225"/>
    </row>
    <row r="12" spans="1:15" ht="12.75" customHeight="1">
      <c r="A12" s="221"/>
      <c r="B12" s="537"/>
      <c r="C12" s="421"/>
      <c r="D12" s="644" t="s">
        <v>321</v>
      </c>
      <c r="E12" s="223">
        <v>7</v>
      </c>
      <c r="F12" s="531">
        <f t="shared" si="0"/>
        <v>33</v>
      </c>
      <c r="G12" s="224"/>
      <c r="H12" s="224"/>
      <c r="I12" s="224">
        <v>33</v>
      </c>
      <c r="J12" s="224"/>
      <c r="K12" s="224"/>
      <c r="L12" s="224"/>
      <c r="M12" s="224"/>
      <c r="N12" s="224"/>
      <c r="O12" s="225"/>
    </row>
    <row r="13" spans="1:15" ht="12.75" customHeight="1">
      <c r="A13" s="221" t="s">
        <v>544</v>
      </c>
      <c r="B13" s="537" t="s">
        <v>604</v>
      </c>
      <c r="C13" s="421" t="s">
        <v>605</v>
      </c>
      <c r="D13" s="236" t="s">
        <v>874</v>
      </c>
      <c r="E13" s="223"/>
      <c r="F13" s="531">
        <f t="shared" si="0"/>
        <v>0</v>
      </c>
      <c r="G13" s="224"/>
      <c r="H13" s="224"/>
      <c r="I13" s="224"/>
      <c r="J13" s="224"/>
      <c r="K13" s="224"/>
      <c r="L13" s="224"/>
      <c r="M13" s="224"/>
      <c r="N13" s="224"/>
      <c r="O13" s="225"/>
    </row>
    <row r="14" spans="1:15" ht="12.75" customHeight="1">
      <c r="A14" s="221"/>
      <c r="B14" s="537"/>
      <c r="C14" s="421"/>
      <c r="D14" s="644" t="s">
        <v>33</v>
      </c>
      <c r="E14" s="223"/>
      <c r="F14" s="531">
        <f t="shared" si="0"/>
        <v>251</v>
      </c>
      <c r="G14" s="224"/>
      <c r="H14" s="224"/>
      <c r="I14" s="224">
        <v>251</v>
      </c>
      <c r="J14" s="224"/>
      <c r="K14" s="224"/>
      <c r="L14" s="224"/>
      <c r="M14" s="224"/>
      <c r="N14" s="224"/>
      <c r="O14" s="225"/>
    </row>
    <row r="15" spans="1:15" ht="12.75" customHeight="1">
      <c r="A15" s="221"/>
      <c r="B15" s="537"/>
      <c r="C15" s="421"/>
      <c r="D15" s="644" t="s">
        <v>321</v>
      </c>
      <c r="E15" s="223"/>
      <c r="F15" s="531">
        <f t="shared" si="0"/>
        <v>251</v>
      </c>
      <c r="G15" s="224"/>
      <c r="H15" s="224"/>
      <c r="I15" s="224">
        <v>251</v>
      </c>
      <c r="J15" s="224"/>
      <c r="K15" s="224"/>
      <c r="L15" s="224"/>
      <c r="M15" s="224"/>
      <c r="N15" s="224"/>
      <c r="O15" s="225"/>
    </row>
    <row r="16" spans="1:15" ht="12.75" customHeight="1">
      <c r="A16" s="221" t="s">
        <v>544</v>
      </c>
      <c r="B16" s="537" t="s">
        <v>606</v>
      </c>
      <c r="C16" s="421" t="s">
        <v>607</v>
      </c>
      <c r="D16" s="236" t="s">
        <v>874</v>
      </c>
      <c r="E16" s="223"/>
      <c r="F16" s="531">
        <f t="shared" si="0"/>
        <v>0</v>
      </c>
      <c r="G16" s="224"/>
      <c r="H16" s="224"/>
      <c r="I16" s="224"/>
      <c r="J16" s="224"/>
      <c r="K16" s="224"/>
      <c r="L16" s="224"/>
      <c r="M16" s="224"/>
      <c r="N16" s="224"/>
      <c r="O16" s="225"/>
    </row>
    <row r="17" spans="1:15" ht="12.75" customHeight="1">
      <c r="A17" s="221"/>
      <c r="B17" s="537"/>
      <c r="C17" s="421"/>
      <c r="D17" s="644" t="s">
        <v>33</v>
      </c>
      <c r="E17" s="223"/>
      <c r="F17" s="531">
        <f t="shared" si="0"/>
        <v>994</v>
      </c>
      <c r="G17" s="224"/>
      <c r="H17" s="224"/>
      <c r="I17" s="224">
        <v>994</v>
      </c>
      <c r="J17" s="224"/>
      <c r="K17" s="224"/>
      <c r="L17" s="224"/>
      <c r="M17" s="224"/>
      <c r="N17" s="224"/>
      <c r="O17" s="225"/>
    </row>
    <row r="18" spans="1:15" ht="12.75" customHeight="1">
      <c r="A18" s="221"/>
      <c r="B18" s="537"/>
      <c r="C18" s="421"/>
      <c r="D18" s="644" t="s">
        <v>321</v>
      </c>
      <c r="E18" s="223"/>
      <c r="F18" s="531">
        <f t="shared" si="0"/>
        <v>994</v>
      </c>
      <c r="G18" s="224"/>
      <c r="H18" s="224"/>
      <c r="I18" s="224">
        <v>994</v>
      </c>
      <c r="J18" s="224"/>
      <c r="K18" s="224"/>
      <c r="L18" s="224"/>
      <c r="M18" s="224"/>
      <c r="N18" s="224"/>
      <c r="O18" s="225"/>
    </row>
    <row r="19" spans="1:15" ht="12.75" customHeight="1">
      <c r="A19" s="221" t="s">
        <v>544</v>
      </c>
      <c r="B19" s="537" t="s">
        <v>608</v>
      </c>
      <c r="C19" s="421" t="s">
        <v>545</v>
      </c>
      <c r="D19" s="236" t="s">
        <v>874</v>
      </c>
      <c r="E19" s="223"/>
      <c r="F19" s="531">
        <f t="shared" si="0"/>
        <v>0</v>
      </c>
      <c r="G19" s="224"/>
      <c r="H19" s="224"/>
      <c r="I19" s="224"/>
      <c r="J19" s="224"/>
      <c r="K19" s="224"/>
      <c r="L19" s="224"/>
      <c r="M19" s="224"/>
      <c r="N19" s="224"/>
      <c r="O19" s="225"/>
    </row>
    <row r="20" spans="1:15" ht="12.75" customHeight="1">
      <c r="A20" s="221"/>
      <c r="B20" s="537"/>
      <c r="C20" s="421"/>
      <c r="D20" s="644" t="s">
        <v>33</v>
      </c>
      <c r="E20" s="223"/>
      <c r="F20" s="531">
        <f t="shared" si="0"/>
        <v>3917</v>
      </c>
      <c r="G20" s="224">
        <v>3089</v>
      </c>
      <c r="H20" s="224">
        <v>804</v>
      </c>
      <c r="I20" s="224">
        <v>24</v>
      </c>
      <c r="J20" s="224"/>
      <c r="K20" s="224"/>
      <c r="L20" s="224"/>
      <c r="M20" s="224"/>
      <c r="N20" s="224"/>
      <c r="O20" s="225"/>
    </row>
    <row r="21" spans="1:15" ht="12.75" customHeight="1">
      <c r="A21" s="221"/>
      <c r="B21" s="537"/>
      <c r="C21" s="421"/>
      <c r="D21" s="644" t="s">
        <v>321</v>
      </c>
      <c r="E21" s="223"/>
      <c r="F21" s="531">
        <f t="shared" si="0"/>
        <v>3917</v>
      </c>
      <c r="G21" s="224">
        <v>3089</v>
      </c>
      <c r="H21" s="224">
        <v>804</v>
      </c>
      <c r="I21" s="224">
        <v>24</v>
      </c>
      <c r="J21" s="224"/>
      <c r="K21" s="224"/>
      <c r="L21" s="224"/>
      <c r="M21" s="224"/>
      <c r="N21" s="224"/>
      <c r="O21" s="225"/>
    </row>
    <row r="22" spans="1:15" ht="12.75" customHeight="1">
      <c r="A22" s="221" t="s">
        <v>544</v>
      </c>
      <c r="B22" s="303">
        <v>841126</v>
      </c>
      <c r="C22" s="421" t="s">
        <v>596</v>
      </c>
      <c r="D22" s="236" t="s">
        <v>874</v>
      </c>
      <c r="E22" s="223">
        <v>9114</v>
      </c>
      <c r="F22" s="531">
        <f t="shared" si="0"/>
        <v>370681</v>
      </c>
      <c r="G22" s="224">
        <v>185772</v>
      </c>
      <c r="H22" s="224">
        <v>47416</v>
      </c>
      <c r="I22" s="224">
        <v>122754</v>
      </c>
      <c r="J22" s="224">
        <v>13739</v>
      </c>
      <c r="K22" s="224"/>
      <c r="L22" s="224"/>
      <c r="M22" s="224">
        <v>1000</v>
      </c>
      <c r="N22" s="224"/>
      <c r="O22" s="225"/>
    </row>
    <row r="23" spans="1:15" ht="12.75" customHeight="1">
      <c r="A23" s="221"/>
      <c r="B23" s="303"/>
      <c r="C23" s="421"/>
      <c r="D23" s="644" t="s">
        <v>33</v>
      </c>
      <c r="E23" s="223">
        <v>17193</v>
      </c>
      <c r="F23" s="531">
        <f t="shared" si="0"/>
        <v>71547</v>
      </c>
      <c r="G23" s="224">
        <v>36944</v>
      </c>
      <c r="H23" s="224">
        <v>9628</v>
      </c>
      <c r="I23" s="224">
        <v>19236</v>
      </c>
      <c r="J23" s="224">
        <v>5349</v>
      </c>
      <c r="K23" s="224"/>
      <c r="L23" s="224"/>
      <c r="M23" s="224">
        <v>390</v>
      </c>
      <c r="N23" s="224"/>
      <c r="O23" s="225"/>
    </row>
    <row r="24" spans="1:15" ht="12.75" customHeight="1">
      <c r="A24" s="221"/>
      <c r="B24" s="303"/>
      <c r="C24" s="421"/>
      <c r="D24" s="644" t="s">
        <v>321</v>
      </c>
      <c r="E24" s="223">
        <v>17193</v>
      </c>
      <c r="F24" s="531">
        <f t="shared" si="0"/>
        <v>71547</v>
      </c>
      <c r="G24" s="224">
        <v>36944</v>
      </c>
      <c r="H24" s="224">
        <v>9628</v>
      </c>
      <c r="I24" s="224">
        <v>19236</v>
      </c>
      <c r="J24" s="224">
        <v>5349</v>
      </c>
      <c r="K24" s="224"/>
      <c r="L24" s="224"/>
      <c r="M24" s="224">
        <v>390</v>
      </c>
      <c r="N24" s="224"/>
      <c r="O24" s="225"/>
    </row>
    <row r="25" spans="1:15" ht="12.75" customHeight="1">
      <c r="A25" s="221" t="s">
        <v>544</v>
      </c>
      <c r="B25" s="303">
        <v>841133</v>
      </c>
      <c r="C25" s="421" t="s">
        <v>546</v>
      </c>
      <c r="D25" s="236" t="s">
        <v>874</v>
      </c>
      <c r="E25" s="223"/>
      <c r="F25" s="531">
        <f t="shared" si="0"/>
        <v>42479</v>
      </c>
      <c r="G25" s="224">
        <v>33529</v>
      </c>
      <c r="H25" s="224">
        <v>8754</v>
      </c>
      <c r="I25" s="224">
        <v>196</v>
      </c>
      <c r="J25" s="224"/>
      <c r="K25" s="224"/>
      <c r="L25" s="224"/>
      <c r="M25" s="224"/>
      <c r="N25" s="224"/>
      <c r="O25" s="225"/>
    </row>
    <row r="26" spans="1:15" ht="12.75" customHeight="1">
      <c r="A26" s="221"/>
      <c r="B26" s="303"/>
      <c r="C26" s="421"/>
      <c r="D26" s="644" t="s">
        <v>33</v>
      </c>
      <c r="E26" s="223"/>
      <c r="F26" s="531">
        <f t="shared" si="0"/>
        <v>14867</v>
      </c>
      <c r="G26" s="224">
        <v>11066</v>
      </c>
      <c r="H26" s="224">
        <v>2934</v>
      </c>
      <c r="I26" s="224">
        <v>867</v>
      </c>
      <c r="J26" s="224"/>
      <c r="K26" s="224"/>
      <c r="L26" s="224"/>
      <c r="M26" s="224"/>
      <c r="N26" s="224"/>
      <c r="O26" s="225"/>
    </row>
    <row r="27" spans="1:15" ht="12.75" customHeight="1">
      <c r="A27" s="221"/>
      <c r="B27" s="303"/>
      <c r="C27" s="421"/>
      <c r="D27" s="644" t="s">
        <v>321</v>
      </c>
      <c r="E27" s="223"/>
      <c r="F27" s="531">
        <f t="shared" si="0"/>
        <v>14867</v>
      </c>
      <c r="G27" s="224">
        <v>11066</v>
      </c>
      <c r="H27" s="224">
        <v>2934</v>
      </c>
      <c r="I27" s="224">
        <v>867</v>
      </c>
      <c r="J27" s="224"/>
      <c r="K27" s="224"/>
      <c r="L27" s="224"/>
      <c r="M27" s="224"/>
      <c r="N27" s="224"/>
      <c r="O27" s="225"/>
    </row>
    <row r="28" spans="1:15" ht="12.75" customHeight="1">
      <c r="A28" s="221" t="s">
        <v>544</v>
      </c>
      <c r="B28" s="303">
        <v>841154</v>
      </c>
      <c r="C28" s="421" t="s">
        <v>547</v>
      </c>
      <c r="D28" s="236" t="s">
        <v>874</v>
      </c>
      <c r="E28" s="223"/>
      <c r="F28" s="531">
        <f t="shared" si="0"/>
        <v>0</v>
      </c>
      <c r="G28" s="224"/>
      <c r="H28" s="224"/>
      <c r="I28" s="224"/>
      <c r="J28" s="224"/>
      <c r="K28" s="224"/>
      <c r="L28" s="224"/>
      <c r="M28" s="224"/>
      <c r="N28" s="224"/>
      <c r="O28" s="225"/>
    </row>
    <row r="29" spans="1:15" ht="12.75" customHeight="1">
      <c r="A29" s="221"/>
      <c r="B29" s="303"/>
      <c r="C29" s="421"/>
      <c r="D29" s="644" t="s">
        <v>33</v>
      </c>
      <c r="E29" s="223"/>
      <c r="F29" s="531">
        <f t="shared" si="0"/>
        <v>128</v>
      </c>
      <c r="G29" s="224"/>
      <c r="H29" s="224"/>
      <c r="I29" s="224">
        <v>128</v>
      </c>
      <c r="J29" s="224"/>
      <c r="K29" s="224"/>
      <c r="L29" s="224"/>
      <c r="M29" s="224"/>
      <c r="N29" s="224"/>
      <c r="O29" s="225"/>
    </row>
    <row r="30" spans="1:15" ht="12.75" customHeight="1">
      <c r="A30" s="221"/>
      <c r="B30" s="303"/>
      <c r="C30" s="421"/>
      <c r="D30" s="644" t="s">
        <v>321</v>
      </c>
      <c r="E30" s="223"/>
      <c r="F30" s="531">
        <f t="shared" si="0"/>
        <v>128</v>
      </c>
      <c r="G30" s="224"/>
      <c r="H30" s="224"/>
      <c r="I30" s="224">
        <v>128</v>
      </c>
      <c r="J30" s="224"/>
      <c r="K30" s="224"/>
      <c r="L30" s="224"/>
      <c r="M30" s="224"/>
      <c r="N30" s="224"/>
      <c r="O30" s="225"/>
    </row>
    <row r="31" spans="1:15" ht="12.75" customHeight="1">
      <c r="A31" s="221" t="s">
        <v>544</v>
      </c>
      <c r="B31" s="303">
        <v>841403</v>
      </c>
      <c r="C31" s="421" t="s">
        <v>597</v>
      </c>
      <c r="D31" s="236" t="s">
        <v>874</v>
      </c>
      <c r="E31" s="223">
        <v>1000</v>
      </c>
      <c r="F31" s="531">
        <f t="shared" si="0"/>
        <v>79061</v>
      </c>
      <c r="G31" s="224">
        <v>62686</v>
      </c>
      <c r="H31" s="224">
        <v>15870</v>
      </c>
      <c r="I31" s="224">
        <v>505</v>
      </c>
      <c r="J31" s="224"/>
      <c r="K31" s="224"/>
      <c r="L31" s="224"/>
      <c r="M31" s="224"/>
      <c r="N31" s="224"/>
      <c r="O31" s="225"/>
    </row>
    <row r="32" spans="1:15" ht="12.75" customHeight="1">
      <c r="A32" s="221"/>
      <c r="B32" s="303"/>
      <c r="C32" s="421"/>
      <c r="D32" s="644" t="s">
        <v>33</v>
      </c>
      <c r="E32" s="223">
        <v>165</v>
      </c>
      <c r="F32" s="531">
        <f t="shared" si="0"/>
        <v>19198</v>
      </c>
      <c r="G32" s="224">
        <v>15061</v>
      </c>
      <c r="H32" s="224">
        <v>3979</v>
      </c>
      <c r="I32" s="224">
        <v>158</v>
      </c>
      <c r="J32" s="224"/>
      <c r="K32" s="224"/>
      <c r="L32" s="224"/>
      <c r="M32" s="224"/>
      <c r="N32" s="224"/>
      <c r="O32" s="225"/>
    </row>
    <row r="33" spans="1:15" ht="12.75" customHeight="1">
      <c r="A33" s="221"/>
      <c r="B33" s="303"/>
      <c r="C33" s="421"/>
      <c r="D33" s="644" t="s">
        <v>321</v>
      </c>
      <c r="E33" s="223">
        <v>165</v>
      </c>
      <c r="F33" s="531">
        <f t="shared" si="0"/>
        <v>19198</v>
      </c>
      <c r="G33" s="224">
        <v>15061</v>
      </c>
      <c r="H33" s="224">
        <v>3979</v>
      </c>
      <c r="I33" s="224">
        <v>158</v>
      </c>
      <c r="J33" s="224"/>
      <c r="K33" s="224"/>
      <c r="L33" s="224"/>
      <c r="M33" s="224"/>
      <c r="N33" s="224"/>
      <c r="O33" s="225"/>
    </row>
    <row r="34" spans="1:15" ht="12.75" customHeight="1">
      <c r="A34" s="221" t="s">
        <v>544</v>
      </c>
      <c r="B34" s="303">
        <v>841907</v>
      </c>
      <c r="C34" s="421" t="s">
        <v>598</v>
      </c>
      <c r="D34" s="236" t="s">
        <v>874</v>
      </c>
      <c r="E34" s="223">
        <v>578880</v>
      </c>
      <c r="F34" s="531">
        <f t="shared" si="0"/>
        <v>0</v>
      </c>
      <c r="G34" s="224"/>
      <c r="H34" s="224"/>
      <c r="I34" s="224"/>
      <c r="J34" s="224"/>
      <c r="K34" s="224"/>
      <c r="L34" s="224"/>
      <c r="M34" s="224"/>
      <c r="N34" s="224"/>
      <c r="O34" s="225"/>
    </row>
    <row r="35" spans="1:15" ht="12.75" customHeight="1">
      <c r="A35" s="221"/>
      <c r="B35" s="303"/>
      <c r="C35" s="421"/>
      <c r="D35" s="644" t="s">
        <v>33</v>
      </c>
      <c r="E35" s="223">
        <v>112951</v>
      </c>
      <c r="F35" s="531">
        <f t="shared" si="0"/>
        <v>0</v>
      </c>
      <c r="G35" s="224"/>
      <c r="H35" s="224"/>
      <c r="I35" s="224"/>
      <c r="J35" s="224"/>
      <c r="K35" s="224"/>
      <c r="L35" s="224"/>
      <c r="M35" s="224"/>
      <c r="N35" s="224"/>
      <c r="O35" s="225"/>
    </row>
    <row r="36" spans="1:15" ht="12.75" customHeight="1">
      <c r="A36" s="221"/>
      <c r="B36" s="303"/>
      <c r="C36" s="421"/>
      <c r="D36" s="644" t="s">
        <v>321</v>
      </c>
      <c r="E36" s="223">
        <v>112951</v>
      </c>
      <c r="F36" s="531">
        <f t="shared" si="0"/>
        <v>0</v>
      </c>
      <c r="G36" s="224"/>
      <c r="H36" s="224"/>
      <c r="I36" s="224"/>
      <c r="J36" s="224"/>
      <c r="K36" s="224"/>
      <c r="L36" s="224"/>
      <c r="M36" s="224"/>
      <c r="N36" s="224"/>
      <c r="O36" s="225"/>
    </row>
    <row r="37" spans="1:15" s="240" customFormat="1" ht="12.75" customHeight="1">
      <c r="A37" s="239" t="s">
        <v>543</v>
      </c>
      <c r="B37" s="538">
        <v>882129</v>
      </c>
      <c r="C37" s="539" t="s">
        <v>599</v>
      </c>
      <c r="D37" s="644" t="s">
        <v>874</v>
      </c>
      <c r="E37" s="646"/>
      <c r="F37" s="531">
        <f t="shared" si="0"/>
        <v>907</v>
      </c>
      <c r="G37" s="246"/>
      <c r="H37" s="246">
        <v>193</v>
      </c>
      <c r="I37" s="246">
        <v>714</v>
      </c>
      <c r="J37" s="246"/>
      <c r="K37" s="246"/>
      <c r="L37" s="246"/>
      <c r="M37" s="246"/>
      <c r="N37" s="246"/>
      <c r="O37" s="247"/>
    </row>
    <row r="38" spans="1:15" ht="12.75" customHeight="1">
      <c r="A38" s="221"/>
      <c r="B38" s="303"/>
      <c r="C38" s="421"/>
      <c r="D38" s="644" t="s">
        <v>33</v>
      </c>
      <c r="E38" s="223"/>
      <c r="F38" s="531">
        <f t="shared" si="0"/>
        <v>667</v>
      </c>
      <c r="G38" s="224">
        <v>495</v>
      </c>
      <c r="H38" s="224">
        <v>106</v>
      </c>
      <c r="I38" s="224">
        <v>66</v>
      </c>
      <c r="J38" s="224"/>
      <c r="K38" s="224"/>
      <c r="L38" s="224"/>
      <c r="M38" s="224"/>
      <c r="N38" s="224"/>
      <c r="O38" s="225"/>
    </row>
    <row r="39" spans="1:15" ht="12.75" customHeight="1">
      <c r="A39" s="221"/>
      <c r="B39" s="303"/>
      <c r="C39" s="421"/>
      <c r="D39" s="644" t="s">
        <v>321</v>
      </c>
      <c r="E39" s="223"/>
      <c r="F39" s="531">
        <f t="shared" si="0"/>
        <v>667</v>
      </c>
      <c r="G39" s="224">
        <v>495</v>
      </c>
      <c r="H39" s="224">
        <v>106</v>
      </c>
      <c r="I39" s="224">
        <v>66</v>
      </c>
      <c r="J39" s="224"/>
      <c r="K39" s="224"/>
      <c r="L39" s="224"/>
      <c r="M39" s="224"/>
      <c r="N39" s="224"/>
      <c r="O39" s="225"/>
    </row>
    <row r="40" spans="1:15" s="240" customFormat="1" ht="12.75" customHeight="1">
      <c r="A40" s="239" t="s">
        <v>543</v>
      </c>
      <c r="B40" s="538">
        <v>889943</v>
      </c>
      <c r="C40" s="539" t="s">
        <v>600</v>
      </c>
      <c r="D40" s="644" t="s">
        <v>874</v>
      </c>
      <c r="E40" s="646">
        <v>1692</v>
      </c>
      <c r="F40" s="531">
        <f t="shared" si="0"/>
        <v>1800</v>
      </c>
      <c r="G40" s="246"/>
      <c r="H40" s="246"/>
      <c r="I40" s="246"/>
      <c r="J40" s="246"/>
      <c r="K40" s="246"/>
      <c r="L40" s="246"/>
      <c r="M40" s="246"/>
      <c r="N40" s="246">
        <v>1800</v>
      </c>
      <c r="O40" s="247"/>
    </row>
    <row r="41" spans="1:15" ht="12.75" customHeight="1">
      <c r="A41" s="221"/>
      <c r="B41" s="303"/>
      <c r="C41" s="421"/>
      <c r="D41" s="644" t="s">
        <v>33</v>
      </c>
      <c r="E41" s="223">
        <v>209</v>
      </c>
      <c r="F41" s="531">
        <f t="shared" si="0"/>
        <v>600</v>
      </c>
      <c r="G41" s="224"/>
      <c r="H41" s="224"/>
      <c r="I41" s="224"/>
      <c r="J41" s="224"/>
      <c r="K41" s="224"/>
      <c r="L41" s="224"/>
      <c r="M41" s="224"/>
      <c r="N41" s="224">
        <v>600</v>
      </c>
      <c r="O41" s="225"/>
    </row>
    <row r="42" spans="1:15" ht="12.75" customHeight="1">
      <c r="A42" s="221"/>
      <c r="B42" s="303"/>
      <c r="C42" s="421"/>
      <c r="D42" s="644" t="s">
        <v>321</v>
      </c>
      <c r="E42" s="223">
        <v>209</v>
      </c>
      <c r="F42" s="531">
        <f t="shared" si="0"/>
        <v>600</v>
      </c>
      <c r="G42" s="224"/>
      <c r="H42" s="224"/>
      <c r="I42" s="224"/>
      <c r="J42" s="224"/>
      <c r="K42" s="224"/>
      <c r="L42" s="224"/>
      <c r="M42" s="224"/>
      <c r="N42" s="224">
        <v>600</v>
      </c>
      <c r="O42" s="225"/>
    </row>
    <row r="43" spans="1:15" s="229" customFormat="1" ht="12.75" customHeight="1">
      <c r="A43" s="222" t="s">
        <v>542</v>
      </c>
      <c r="B43" s="303">
        <v>882111</v>
      </c>
      <c r="C43" s="421" t="s">
        <v>562</v>
      </c>
      <c r="D43" s="236" t="s">
        <v>874</v>
      </c>
      <c r="E43" s="223"/>
      <c r="F43" s="531">
        <f t="shared" si="0"/>
        <v>64000</v>
      </c>
      <c r="G43" s="226"/>
      <c r="H43" s="226"/>
      <c r="I43" s="226"/>
      <c r="J43" s="226"/>
      <c r="K43" s="226">
        <v>64000</v>
      </c>
      <c r="L43" s="226"/>
      <c r="M43" s="226"/>
      <c r="N43" s="227"/>
      <c r="O43" s="228"/>
    </row>
    <row r="44" spans="1:15" s="245" customFormat="1" ht="12.75" customHeight="1">
      <c r="A44" s="241"/>
      <c r="B44" s="538"/>
      <c r="C44" s="539"/>
      <c r="D44" s="644" t="s">
        <v>33</v>
      </c>
      <c r="E44" s="646"/>
      <c r="F44" s="531">
        <f t="shared" si="0"/>
        <v>12170</v>
      </c>
      <c r="G44" s="242"/>
      <c r="H44" s="242"/>
      <c r="I44" s="242"/>
      <c r="J44" s="242"/>
      <c r="K44" s="242">
        <v>12170</v>
      </c>
      <c r="L44" s="242"/>
      <c r="M44" s="242"/>
      <c r="N44" s="243"/>
      <c r="O44" s="244"/>
    </row>
    <row r="45" spans="1:15" s="245" customFormat="1" ht="12.75" customHeight="1">
      <c r="A45" s="241"/>
      <c r="B45" s="538"/>
      <c r="C45" s="539"/>
      <c r="D45" s="644" t="s">
        <v>321</v>
      </c>
      <c r="E45" s="646"/>
      <c r="F45" s="531">
        <f t="shared" si="0"/>
        <v>12170</v>
      </c>
      <c r="G45" s="242"/>
      <c r="H45" s="242"/>
      <c r="I45" s="242"/>
      <c r="J45" s="242"/>
      <c r="K45" s="242">
        <v>12170</v>
      </c>
      <c r="L45" s="242"/>
      <c r="M45" s="242"/>
      <c r="N45" s="243"/>
      <c r="O45" s="244"/>
    </row>
    <row r="46" spans="1:15" s="245" customFormat="1" ht="12.75" customHeight="1">
      <c r="A46" s="241" t="s">
        <v>543</v>
      </c>
      <c r="B46" s="538">
        <v>882112</v>
      </c>
      <c r="C46" s="539" t="s">
        <v>379</v>
      </c>
      <c r="D46" s="644" t="s">
        <v>874</v>
      </c>
      <c r="E46" s="646"/>
      <c r="F46" s="531">
        <f t="shared" si="0"/>
        <v>36</v>
      </c>
      <c r="G46" s="242"/>
      <c r="H46" s="242"/>
      <c r="I46" s="242"/>
      <c r="J46" s="242"/>
      <c r="K46" s="242">
        <v>36</v>
      </c>
      <c r="L46" s="242"/>
      <c r="M46" s="242"/>
      <c r="N46" s="242"/>
      <c r="O46" s="244"/>
    </row>
    <row r="47" spans="1:15" s="229" customFormat="1" ht="12.75" customHeight="1">
      <c r="A47" s="222"/>
      <c r="B47" s="303"/>
      <c r="C47" s="421"/>
      <c r="D47" s="644" t="s">
        <v>33</v>
      </c>
      <c r="E47" s="223"/>
      <c r="F47" s="531">
        <f t="shared" si="0"/>
        <v>0</v>
      </c>
      <c r="G47" s="226"/>
      <c r="H47" s="226"/>
      <c r="I47" s="226"/>
      <c r="J47" s="226"/>
      <c r="K47" s="226"/>
      <c r="L47" s="226"/>
      <c r="M47" s="226"/>
      <c r="N47" s="226"/>
      <c r="O47" s="228"/>
    </row>
    <row r="48" spans="1:15" s="229" customFormat="1" ht="12.75" customHeight="1">
      <c r="A48" s="222"/>
      <c r="B48" s="303"/>
      <c r="C48" s="421"/>
      <c r="D48" s="644" t="s">
        <v>321</v>
      </c>
      <c r="E48" s="223"/>
      <c r="F48" s="531">
        <f t="shared" si="0"/>
        <v>0</v>
      </c>
      <c r="G48" s="226"/>
      <c r="H48" s="226"/>
      <c r="I48" s="226"/>
      <c r="J48" s="226"/>
      <c r="K48" s="226"/>
      <c r="L48" s="226"/>
      <c r="M48" s="226"/>
      <c r="N48" s="226"/>
      <c r="O48" s="228"/>
    </row>
    <row r="49" spans="1:15" s="229" customFormat="1" ht="12.75" customHeight="1">
      <c r="A49" s="222" t="s">
        <v>542</v>
      </c>
      <c r="B49" s="303">
        <v>882113</v>
      </c>
      <c r="C49" s="421" t="s">
        <v>380</v>
      </c>
      <c r="D49" s="236" t="s">
        <v>874</v>
      </c>
      <c r="E49" s="223"/>
      <c r="F49" s="531">
        <f t="shared" si="0"/>
        <v>20000</v>
      </c>
      <c r="G49" s="226"/>
      <c r="H49" s="226"/>
      <c r="I49" s="226"/>
      <c r="J49" s="226"/>
      <c r="K49" s="226">
        <v>20000</v>
      </c>
      <c r="L49" s="226"/>
      <c r="M49" s="226"/>
      <c r="N49" s="226"/>
      <c r="O49" s="228"/>
    </row>
    <row r="50" spans="1:15" s="245" customFormat="1" ht="12.75" customHeight="1">
      <c r="A50" s="241"/>
      <c r="B50" s="538"/>
      <c r="C50" s="539"/>
      <c r="D50" s="644" t="s">
        <v>33</v>
      </c>
      <c r="E50" s="646"/>
      <c r="F50" s="531">
        <f t="shared" si="0"/>
        <v>3382</v>
      </c>
      <c r="G50" s="242"/>
      <c r="H50" s="242"/>
      <c r="I50" s="242"/>
      <c r="J50" s="242"/>
      <c r="K50" s="242">
        <v>3382</v>
      </c>
      <c r="L50" s="242"/>
      <c r="M50" s="242"/>
      <c r="N50" s="242"/>
      <c r="O50" s="244"/>
    </row>
    <row r="51" spans="1:15" s="245" customFormat="1" ht="12.75" customHeight="1">
      <c r="A51" s="241"/>
      <c r="B51" s="538"/>
      <c r="C51" s="539"/>
      <c r="D51" s="644" t="s">
        <v>321</v>
      </c>
      <c r="E51" s="646"/>
      <c r="F51" s="531">
        <f t="shared" si="0"/>
        <v>3382</v>
      </c>
      <c r="G51" s="242"/>
      <c r="H51" s="242"/>
      <c r="I51" s="242"/>
      <c r="J51" s="242"/>
      <c r="K51" s="242">
        <v>3382</v>
      </c>
      <c r="L51" s="242"/>
      <c r="M51" s="242"/>
      <c r="N51" s="242"/>
      <c r="O51" s="244"/>
    </row>
    <row r="52" spans="1:15" s="229" customFormat="1" ht="12.75" customHeight="1">
      <c r="A52" s="222" t="s">
        <v>542</v>
      </c>
      <c r="B52" s="303">
        <v>882115</v>
      </c>
      <c r="C52" s="421" t="s">
        <v>601</v>
      </c>
      <c r="D52" s="236" t="s">
        <v>874</v>
      </c>
      <c r="E52" s="223"/>
      <c r="F52" s="531">
        <f t="shared" si="0"/>
        <v>2028</v>
      </c>
      <c r="G52" s="226"/>
      <c r="H52" s="226"/>
      <c r="I52" s="226"/>
      <c r="J52" s="226"/>
      <c r="K52" s="226">
        <v>2028</v>
      </c>
      <c r="L52" s="226"/>
      <c r="M52" s="226"/>
      <c r="N52" s="226"/>
      <c r="O52" s="228"/>
    </row>
    <row r="53" spans="1:15" s="245" customFormat="1" ht="12.75" customHeight="1">
      <c r="A53" s="241"/>
      <c r="B53" s="538"/>
      <c r="C53" s="539"/>
      <c r="D53" s="644" t="s">
        <v>33</v>
      </c>
      <c r="E53" s="646"/>
      <c r="F53" s="531">
        <f t="shared" si="0"/>
        <v>2200</v>
      </c>
      <c r="G53" s="242"/>
      <c r="H53" s="242"/>
      <c r="I53" s="242"/>
      <c r="J53" s="242"/>
      <c r="K53" s="242">
        <v>2200</v>
      </c>
      <c r="L53" s="242"/>
      <c r="M53" s="242"/>
      <c r="N53" s="242"/>
      <c r="O53" s="244"/>
    </row>
    <row r="54" spans="1:15" s="245" customFormat="1" ht="12.75" customHeight="1">
      <c r="A54" s="241"/>
      <c r="B54" s="538"/>
      <c r="C54" s="539"/>
      <c r="D54" s="644" t="s">
        <v>321</v>
      </c>
      <c r="E54" s="646"/>
      <c r="F54" s="531">
        <f t="shared" si="0"/>
        <v>2200</v>
      </c>
      <c r="G54" s="242"/>
      <c r="H54" s="242"/>
      <c r="I54" s="242"/>
      <c r="J54" s="242"/>
      <c r="K54" s="242">
        <v>2200</v>
      </c>
      <c r="L54" s="242"/>
      <c r="M54" s="242"/>
      <c r="N54" s="242"/>
      <c r="O54" s="244"/>
    </row>
    <row r="55" spans="1:15" s="229" customFormat="1" ht="12.75" customHeight="1">
      <c r="A55" s="222" t="s">
        <v>542</v>
      </c>
      <c r="B55" s="303">
        <v>882119</v>
      </c>
      <c r="C55" s="421" t="s">
        <v>390</v>
      </c>
      <c r="D55" s="236" t="s">
        <v>874</v>
      </c>
      <c r="E55" s="223"/>
      <c r="F55" s="531">
        <f t="shared" si="0"/>
        <v>300</v>
      </c>
      <c r="G55" s="226"/>
      <c r="H55" s="226"/>
      <c r="I55" s="226"/>
      <c r="J55" s="226"/>
      <c r="K55" s="226">
        <v>300</v>
      </c>
      <c r="L55" s="226"/>
      <c r="M55" s="226"/>
      <c r="N55" s="226"/>
      <c r="O55" s="228"/>
    </row>
    <row r="56" spans="1:15" s="245" customFormat="1" ht="12.75" customHeight="1">
      <c r="A56" s="241"/>
      <c r="B56" s="538"/>
      <c r="C56" s="539"/>
      <c r="D56" s="644" t="s">
        <v>33</v>
      </c>
      <c r="E56" s="646"/>
      <c r="F56" s="531">
        <f t="shared" si="0"/>
        <v>0</v>
      </c>
      <c r="G56" s="242"/>
      <c r="H56" s="242"/>
      <c r="I56" s="242"/>
      <c r="J56" s="242"/>
      <c r="K56" s="242"/>
      <c r="L56" s="242"/>
      <c r="M56" s="242"/>
      <c r="N56" s="242"/>
      <c r="O56" s="244"/>
    </row>
    <row r="57" spans="1:15" s="245" customFormat="1" ht="12.75" customHeight="1">
      <c r="A57" s="241"/>
      <c r="B57" s="538"/>
      <c r="C57" s="539"/>
      <c r="D57" s="644" t="s">
        <v>321</v>
      </c>
      <c r="E57" s="646"/>
      <c r="F57" s="531">
        <f t="shared" si="0"/>
        <v>0</v>
      </c>
      <c r="G57" s="242"/>
      <c r="H57" s="242"/>
      <c r="I57" s="242"/>
      <c r="J57" s="242"/>
      <c r="K57" s="242"/>
      <c r="L57" s="242"/>
      <c r="M57" s="242"/>
      <c r="N57" s="242"/>
      <c r="O57" s="244"/>
    </row>
    <row r="58" spans="1:15" s="229" customFormat="1" ht="12.75" customHeight="1">
      <c r="A58" s="221" t="s">
        <v>542</v>
      </c>
      <c r="B58" s="303">
        <v>882201</v>
      </c>
      <c r="C58" s="421" t="s">
        <v>381</v>
      </c>
      <c r="D58" s="236" t="s">
        <v>874</v>
      </c>
      <c r="E58" s="223"/>
      <c r="F58" s="531">
        <f t="shared" si="0"/>
        <v>8000</v>
      </c>
      <c r="G58" s="226"/>
      <c r="H58" s="226"/>
      <c r="I58" s="226"/>
      <c r="J58" s="226"/>
      <c r="K58" s="226">
        <v>8000</v>
      </c>
      <c r="L58" s="226"/>
      <c r="M58" s="226"/>
      <c r="N58" s="226"/>
      <c r="O58" s="228"/>
    </row>
    <row r="59" spans="1:15" s="245" customFormat="1" ht="12.75" customHeight="1">
      <c r="A59" s="241"/>
      <c r="B59" s="538"/>
      <c r="C59" s="539"/>
      <c r="D59" s="644" t="s">
        <v>33</v>
      </c>
      <c r="E59" s="646"/>
      <c r="F59" s="531">
        <f t="shared" si="0"/>
        <v>525</v>
      </c>
      <c r="G59" s="242"/>
      <c r="H59" s="242"/>
      <c r="I59" s="242"/>
      <c r="J59" s="242"/>
      <c r="K59" s="242">
        <v>525</v>
      </c>
      <c r="L59" s="242"/>
      <c r="M59" s="242"/>
      <c r="N59" s="242"/>
      <c r="O59" s="244"/>
    </row>
    <row r="60" spans="1:15" s="245" customFormat="1" ht="12.75" customHeight="1">
      <c r="A60" s="241"/>
      <c r="B60" s="538"/>
      <c r="C60" s="539"/>
      <c r="D60" s="644" t="s">
        <v>321</v>
      </c>
      <c r="E60" s="646"/>
      <c r="F60" s="531">
        <f t="shared" si="0"/>
        <v>525</v>
      </c>
      <c r="G60" s="242"/>
      <c r="H60" s="242"/>
      <c r="I60" s="242"/>
      <c r="J60" s="242"/>
      <c r="K60" s="242">
        <v>525</v>
      </c>
      <c r="L60" s="242"/>
      <c r="M60" s="242"/>
      <c r="N60" s="242"/>
      <c r="O60" s="244"/>
    </row>
    <row r="61" spans="1:15" ht="12.75" customHeight="1">
      <c r="A61" s="221" t="s">
        <v>544</v>
      </c>
      <c r="B61" s="303">
        <v>960900</v>
      </c>
      <c r="C61" s="421" t="s">
        <v>602</v>
      </c>
      <c r="D61" s="236" t="s">
        <v>874</v>
      </c>
      <c r="E61" s="223">
        <v>3600</v>
      </c>
      <c r="F61" s="531">
        <f t="shared" si="0"/>
        <v>3825</v>
      </c>
      <c r="G61" s="224">
        <v>1600</v>
      </c>
      <c r="H61" s="224">
        <v>725</v>
      </c>
      <c r="I61" s="224">
        <v>1500</v>
      </c>
      <c r="J61" s="224"/>
      <c r="K61" s="223"/>
      <c r="L61" s="223"/>
      <c r="M61" s="224"/>
      <c r="N61" s="224"/>
      <c r="O61" s="225"/>
    </row>
    <row r="62" spans="1:15" ht="12.75" customHeight="1">
      <c r="A62" s="221"/>
      <c r="B62" s="303"/>
      <c r="C62" s="421"/>
      <c r="D62" s="644" t="s">
        <v>33</v>
      </c>
      <c r="E62" s="223">
        <v>73</v>
      </c>
      <c r="F62" s="531">
        <f t="shared" si="0"/>
        <v>119</v>
      </c>
      <c r="G62" s="224">
        <v>75</v>
      </c>
      <c r="H62" s="224">
        <v>19</v>
      </c>
      <c r="I62" s="224">
        <v>25</v>
      </c>
      <c r="J62" s="224"/>
      <c r="K62" s="223"/>
      <c r="L62" s="223"/>
      <c r="M62" s="224"/>
      <c r="N62" s="224"/>
      <c r="O62" s="225"/>
    </row>
    <row r="63" spans="1:15" ht="12.75" customHeight="1">
      <c r="A63" s="221"/>
      <c r="B63" s="303"/>
      <c r="C63" s="421"/>
      <c r="D63" s="644" t="s">
        <v>321</v>
      </c>
      <c r="E63" s="223">
        <v>73</v>
      </c>
      <c r="F63" s="531">
        <f t="shared" si="0"/>
        <v>119</v>
      </c>
      <c r="G63" s="224">
        <v>75</v>
      </c>
      <c r="H63" s="224">
        <v>19</v>
      </c>
      <c r="I63" s="224">
        <v>25</v>
      </c>
      <c r="J63" s="224"/>
      <c r="K63" s="223"/>
      <c r="L63" s="223"/>
      <c r="M63" s="224"/>
      <c r="N63" s="224"/>
      <c r="O63" s="225"/>
    </row>
    <row r="64" spans="1:15" ht="12.75" customHeight="1">
      <c r="A64" s="221"/>
      <c r="B64" s="303"/>
      <c r="C64" s="421"/>
      <c r="D64" s="644"/>
      <c r="E64" s="223"/>
      <c r="F64" s="531"/>
      <c r="G64" s="224"/>
      <c r="H64" s="224"/>
      <c r="I64" s="224"/>
      <c r="J64" s="224"/>
      <c r="K64" s="223"/>
      <c r="L64" s="223"/>
      <c r="M64" s="224"/>
      <c r="N64" s="224"/>
      <c r="O64" s="225"/>
    </row>
    <row r="65" spans="1:15" ht="12.75" customHeight="1">
      <c r="A65" s="221"/>
      <c r="B65" s="1388" t="s">
        <v>141</v>
      </c>
      <c r="C65" s="1388"/>
      <c r="D65" s="647" t="s">
        <v>874</v>
      </c>
      <c r="E65" s="230">
        <f aca="true" t="shared" si="1" ref="E65:O65">SUM(E10+E22+E25+E31+E34+E37+E40+E43+E46+E49+E52+E55+E58+E61)</f>
        <v>596726</v>
      </c>
      <c r="F65" s="230">
        <f t="shared" si="1"/>
        <v>596726</v>
      </c>
      <c r="G65" s="230">
        <f t="shared" si="1"/>
        <v>283587</v>
      </c>
      <c r="H65" s="230">
        <f t="shared" si="1"/>
        <v>72958</v>
      </c>
      <c r="I65" s="230">
        <f t="shared" si="1"/>
        <v>129278</v>
      </c>
      <c r="J65" s="230">
        <f t="shared" si="1"/>
        <v>13739</v>
      </c>
      <c r="K65" s="230">
        <f t="shared" si="1"/>
        <v>94364</v>
      </c>
      <c r="L65" s="230">
        <f t="shared" si="1"/>
        <v>0</v>
      </c>
      <c r="M65" s="230">
        <f t="shared" si="1"/>
        <v>1000</v>
      </c>
      <c r="N65" s="230">
        <f t="shared" si="1"/>
        <v>1800</v>
      </c>
      <c r="O65" s="249">
        <f t="shared" si="1"/>
        <v>0</v>
      </c>
    </row>
    <row r="66" spans="1:15" ht="12.75" customHeight="1">
      <c r="A66" s="221"/>
      <c r="B66" s="540"/>
      <c r="C66" s="540"/>
      <c r="D66" s="648" t="s">
        <v>33</v>
      </c>
      <c r="E66" s="230">
        <f aca="true" t="shared" si="2" ref="E66:O66">SUM(E8+E11+E14+E17+E20+E23+E26+E29+E32+E35+E38+E41+E44+E47+E50+E53+E56+E59+E62)</f>
        <v>130598</v>
      </c>
      <c r="F66" s="230">
        <f t="shared" si="2"/>
        <v>130598</v>
      </c>
      <c r="G66" s="230">
        <f t="shared" si="2"/>
        <v>66730</v>
      </c>
      <c r="H66" s="230">
        <f t="shared" si="2"/>
        <v>17470</v>
      </c>
      <c r="I66" s="230">
        <f t="shared" si="2"/>
        <v>21782</v>
      </c>
      <c r="J66" s="230">
        <f t="shared" si="2"/>
        <v>5349</v>
      </c>
      <c r="K66" s="230">
        <f t="shared" si="2"/>
        <v>18277</v>
      </c>
      <c r="L66" s="230">
        <f t="shared" si="2"/>
        <v>0</v>
      </c>
      <c r="M66" s="230">
        <f t="shared" si="2"/>
        <v>390</v>
      </c>
      <c r="N66" s="230">
        <f t="shared" si="2"/>
        <v>600</v>
      </c>
      <c r="O66" s="249">
        <f t="shared" si="2"/>
        <v>0</v>
      </c>
    </row>
    <row r="67" spans="1:15" ht="12.75" customHeight="1">
      <c r="A67" s="221"/>
      <c r="B67" s="540"/>
      <c r="C67" s="540"/>
      <c r="D67" s="649" t="s">
        <v>321</v>
      </c>
      <c r="E67" s="230">
        <f>SUM(E12+E15+E18+E21+E24+E27+E30+E33+E36+E39+E42+E45+E48+E51+E54+E57+E60+E63)</f>
        <v>130598</v>
      </c>
      <c r="F67" s="230">
        <f aca="true" t="shared" si="3" ref="F67:O67">SUM(F12+F15+F18+F21+F24+F27+F30+F33+F36+F39+F42+F45+F48+F51+F54+F57+F60+F63)</f>
        <v>130598</v>
      </c>
      <c r="G67" s="230">
        <f t="shared" si="3"/>
        <v>66730</v>
      </c>
      <c r="H67" s="230">
        <f t="shared" si="3"/>
        <v>17470</v>
      </c>
      <c r="I67" s="230">
        <f t="shared" si="3"/>
        <v>21782</v>
      </c>
      <c r="J67" s="230">
        <f t="shared" si="3"/>
        <v>5349</v>
      </c>
      <c r="K67" s="230">
        <f t="shared" si="3"/>
        <v>18277</v>
      </c>
      <c r="L67" s="230">
        <f t="shared" si="3"/>
        <v>0</v>
      </c>
      <c r="M67" s="230">
        <f t="shared" si="3"/>
        <v>390</v>
      </c>
      <c r="N67" s="230">
        <f t="shared" si="3"/>
        <v>600</v>
      </c>
      <c r="O67" s="249">
        <f t="shared" si="3"/>
        <v>0</v>
      </c>
    </row>
    <row r="68" spans="1:15" ht="12.75" customHeight="1">
      <c r="A68" s="221"/>
      <c r="B68" s="540"/>
      <c r="C68" s="540"/>
      <c r="D68" s="649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49"/>
    </row>
    <row r="69" spans="1:15" ht="12.75" customHeight="1">
      <c r="A69" s="221"/>
      <c r="B69" s="1372" t="s">
        <v>603</v>
      </c>
      <c r="C69" s="1372"/>
      <c r="D69" s="650" t="s">
        <v>874</v>
      </c>
      <c r="E69" s="231">
        <f aca="true" t="shared" si="4" ref="E69:O69">SUM(E7+E43+E49+E52+E55+E58)</f>
        <v>0</v>
      </c>
      <c r="F69" s="231">
        <f t="shared" si="4"/>
        <v>94328</v>
      </c>
      <c r="G69" s="231">
        <f t="shared" si="4"/>
        <v>0</v>
      </c>
      <c r="H69" s="231">
        <f t="shared" si="4"/>
        <v>0</v>
      </c>
      <c r="I69" s="231">
        <f t="shared" si="4"/>
        <v>0</v>
      </c>
      <c r="J69" s="231">
        <f t="shared" si="4"/>
        <v>0</v>
      </c>
      <c r="K69" s="231">
        <f t="shared" si="4"/>
        <v>94328</v>
      </c>
      <c r="L69" s="231">
        <f t="shared" si="4"/>
        <v>0</v>
      </c>
      <c r="M69" s="231">
        <f t="shared" si="4"/>
        <v>0</v>
      </c>
      <c r="N69" s="231">
        <f t="shared" si="4"/>
        <v>0</v>
      </c>
      <c r="O69" s="248">
        <f t="shared" si="4"/>
        <v>0</v>
      </c>
    </row>
    <row r="70" spans="1:15" ht="12.75" customHeight="1">
      <c r="A70" s="221"/>
      <c r="B70" s="354"/>
      <c r="C70" s="354"/>
      <c r="D70" s="648" t="s">
        <v>33</v>
      </c>
      <c r="E70" s="231">
        <f aca="true" t="shared" si="5" ref="E70:O70">SUM(E8+E44+E50+E53+E56+E59)</f>
        <v>0</v>
      </c>
      <c r="F70" s="231">
        <f t="shared" si="5"/>
        <v>18277</v>
      </c>
      <c r="G70" s="231">
        <f t="shared" si="5"/>
        <v>0</v>
      </c>
      <c r="H70" s="231">
        <f t="shared" si="5"/>
        <v>0</v>
      </c>
      <c r="I70" s="231">
        <f t="shared" si="5"/>
        <v>0</v>
      </c>
      <c r="J70" s="231">
        <f t="shared" si="5"/>
        <v>0</v>
      </c>
      <c r="K70" s="231">
        <f t="shared" si="5"/>
        <v>18277</v>
      </c>
      <c r="L70" s="231">
        <f t="shared" si="5"/>
        <v>0</v>
      </c>
      <c r="M70" s="231">
        <f t="shared" si="5"/>
        <v>0</v>
      </c>
      <c r="N70" s="231">
        <f t="shared" si="5"/>
        <v>0</v>
      </c>
      <c r="O70" s="248">
        <f t="shared" si="5"/>
        <v>0</v>
      </c>
    </row>
    <row r="71" spans="1:15" ht="12.75" customHeight="1">
      <c r="A71" s="221"/>
      <c r="B71" s="354"/>
      <c r="C71" s="354"/>
      <c r="D71" s="649" t="s">
        <v>321</v>
      </c>
      <c r="E71" s="231">
        <f>SUM(E9+E45+E51+E54+E57+E60)</f>
        <v>0</v>
      </c>
      <c r="F71" s="231">
        <f aca="true" t="shared" si="6" ref="F71:O71">SUM(F9+F45+F51+F54+F57+F60)</f>
        <v>18277</v>
      </c>
      <c r="G71" s="231">
        <f t="shared" si="6"/>
        <v>0</v>
      </c>
      <c r="H71" s="231">
        <f t="shared" si="6"/>
        <v>0</v>
      </c>
      <c r="I71" s="231">
        <f t="shared" si="6"/>
        <v>0</v>
      </c>
      <c r="J71" s="231">
        <f t="shared" si="6"/>
        <v>0</v>
      </c>
      <c r="K71" s="231">
        <f t="shared" si="6"/>
        <v>18277</v>
      </c>
      <c r="L71" s="231">
        <f t="shared" si="6"/>
        <v>0</v>
      </c>
      <c r="M71" s="231">
        <f t="shared" si="6"/>
        <v>0</v>
      </c>
      <c r="N71" s="231">
        <f t="shared" si="6"/>
        <v>0</v>
      </c>
      <c r="O71" s="248">
        <f t="shared" si="6"/>
        <v>0</v>
      </c>
    </row>
    <row r="72" spans="1:15" ht="12.75" customHeight="1">
      <c r="A72" s="221"/>
      <c r="B72" s="354"/>
      <c r="C72" s="354"/>
      <c r="D72" s="649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48"/>
    </row>
    <row r="73" spans="1:15" ht="12.75" customHeight="1">
      <c r="A73" s="221"/>
      <c r="B73" s="1372" t="s">
        <v>589</v>
      </c>
      <c r="C73" s="1387"/>
      <c r="D73" s="650" t="s">
        <v>874</v>
      </c>
      <c r="E73" s="231">
        <f aca="true" t="shared" si="7" ref="E73:O73">SUM(E10+E37+E40+E46)</f>
        <v>4132</v>
      </c>
      <c r="F73" s="231">
        <f t="shared" si="7"/>
        <v>6352</v>
      </c>
      <c r="G73" s="231">
        <f t="shared" si="7"/>
        <v>0</v>
      </c>
      <c r="H73" s="231">
        <f t="shared" si="7"/>
        <v>193</v>
      </c>
      <c r="I73" s="231">
        <f t="shared" si="7"/>
        <v>4323</v>
      </c>
      <c r="J73" s="231">
        <f t="shared" si="7"/>
        <v>0</v>
      </c>
      <c r="K73" s="231">
        <f t="shared" si="7"/>
        <v>36</v>
      </c>
      <c r="L73" s="231">
        <f t="shared" si="7"/>
        <v>0</v>
      </c>
      <c r="M73" s="231">
        <f t="shared" si="7"/>
        <v>0</v>
      </c>
      <c r="N73" s="231">
        <f t="shared" si="7"/>
        <v>1800</v>
      </c>
      <c r="O73" s="248">
        <f t="shared" si="7"/>
        <v>0</v>
      </c>
    </row>
    <row r="74" spans="1:15" ht="12.75" customHeight="1">
      <c r="A74" s="221"/>
      <c r="B74" s="354"/>
      <c r="C74" s="511"/>
      <c r="D74" s="648" t="s">
        <v>33</v>
      </c>
      <c r="E74" s="231">
        <f aca="true" t="shared" si="8" ref="E74:O74">SUM(E11+E38+E41+E47)</f>
        <v>216</v>
      </c>
      <c r="F74" s="231">
        <f t="shared" si="8"/>
        <v>1300</v>
      </c>
      <c r="G74" s="231">
        <f t="shared" si="8"/>
        <v>495</v>
      </c>
      <c r="H74" s="231">
        <f t="shared" si="8"/>
        <v>106</v>
      </c>
      <c r="I74" s="231">
        <f t="shared" si="8"/>
        <v>99</v>
      </c>
      <c r="J74" s="231">
        <f t="shared" si="8"/>
        <v>0</v>
      </c>
      <c r="K74" s="231">
        <f t="shared" si="8"/>
        <v>0</v>
      </c>
      <c r="L74" s="231">
        <f t="shared" si="8"/>
        <v>0</v>
      </c>
      <c r="M74" s="231">
        <f t="shared" si="8"/>
        <v>0</v>
      </c>
      <c r="N74" s="231">
        <f t="shared" si="8"/>
        <v>600</v>
      </c>
      <c r="O74" s="248">
        <f t="shared" si="8"/>
        <v>0</v>
      </c>
    </row>
    <row r="75" spans="1:15" ht="12.75" customHeight="1">
      <c r="A75" s="221"/>
      <c r="B75" s="354"/>
      <c r="C75" s="511"/>
      <c r="D75" s="649" t="s">
        <v>321</v>
      </c>
      <c r="E75" s="231">
        <f>SUM(E12+E39+E42+E48)</f>
        <v>216</v>
      </c>
      <c r="F75" s="231">
        <f aca="true" t="shared" si="9" ref="F75:N75">SUM(F12+F39+F42+F48)</f>
        <v>1300</v>
      </c>
      <c r="G75" s="231">
        <f t="shared" si="9"/>
        <v>495</v>
      </c>
      <c r="H75" s="231">
        <f t="shared" si="9"/>
        <v>106</v>
      </c>
      <c r="I75" s="231">
        <f t="shared" si="9"/>
        <v>99</v>
      </c>
      <c r="J75" s="231">
        <f t="shared" si="9"/>
        <v>0</v>
      </c>
      <c r="K75" s="231">
        <f t="shared" si="9"/>
        <v>0</v>
      </c>
      <c r="L75" s="231">
        <f t="shared" si="9"/>
        <v>0</v>
      </c>
      <c r="M75" s="231">
        <f t="shared" si="9"/>
        <v>0</v>
      </c>
      <c r="N75" s="231">
        <f t="shared" si="9"/>
        <v>600</v>
      </c>
      <c r="O75" s="248">
        <f>SUM(O12+O39+O42+O48)</f>
        <v>0</v>
      </c>
    </row>
    <row r="76" spans="1:15" ht="12.75" customHeight="1">
      <c r="A76" s="221"/>
      <c r="B76" s="354"/>
      <c r="C76" s="511"/>
      <c r="D76" s="649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48"/>
    </row>
    <row r="77" spans="1:15" ht="12.75" customHeight="1">
      <c r="A77" s="221"/>
      <c r="B77" s="1372" t="s">
        <v>590</v>
      </c>
      <c r="C77" s="1372"/>
      <c r="D77" s="650" t="s">
        <v>874</v>
      </c>
      <c r="E77" s="231">
        <f aca="true" t="shared" si="10" ref="E77:O77">SUM(E13+E16+E19+E22+E25+E28+E31+E34+E61)</f>
        <v>592594</v>
      </c>
      <c r="F77" s="231">
        <f t="shared" si="10"/>
        <v>496046</v>
      </c>
      <c r="G77" s="231">
        <f t="shared" si="10"/>
        <v>283587</v>
      </c>
      <c r="H77" s="231">
        <f t="shared" si="10"/>
        <v>72765</v>
      </c>
      <c r="I77" s="231">
        <f t="shared" si="10"/>
        <v>124955</v>
      </c>
      <c r="J77" s="231">
        <f t="shared" si="10"/>
        <v>13739</v>
      </c>
      <c r="K77" s="231">
        <f t="shared" si="10"/>
        <v>0</v>
      </c>
      <c r="L77" s="231">
        <f t="shared" si="10"/>
        <v>0</v>
      </c>
      <c r="M77" s="231">
        <f t="shared" si="10"/>
        <v>1000</v>
      </c>
      <c r="N77" s="231">
        <f t="shared" si="10"/>
        <v>0</v>
      </c>
      <c r="O77" s="248">
        <f t="shared" si="10"/>
        <v>0</v>
      </c>
    </row>
    <row r="78" spans="1:15" ht="12.75">
      <c r="A78" s="221"/>
      <c r="B78" s="227"/>
      <c r="C78" s="525"/>
      <c r="D78" s="648" t="s">
        <v>33</v>
      </c>
      <c r="E78" s="231">
        <f aca="true" t="shared" si="11" ref="E78:O78">SUM(E14+E17+E20+E23+E26+E29+E32+E35+E62)</f>
        <v>130382</v>
      </c>
      <c r="F78" s="231">
        <f t="shared" si="11"/>
        <v>111021</v>
      </c>
      <c r="G78" s="231">
        <f t="shared" si="11"/>
        <v>66235</v>
      </c>
      <c r="H78" s="231">
        <f t="shared" si="11"/>
        <v>17364</v>
      </c>
      <c r="I78" s="231">
        <f t="shared" si="11"/>
        <v>21683</v>
      </c>
      <c r="J78" s="231">
        <f t="shared" si="11"/>
        <v>5349</v>
      </c>
      <c r="K78" s="231">
        <f t="shared" si="11"/>
        <v>0</v>
      </c>
      <c r="L78" s="231">
        <f t="shared" si="11"/>
        <v>0</v>
      </c>
      <c r="M78" s="231">
        <f t="shared" si="11"/>
        <v>390</v>
      </c>
      <c r="N78" s="231">
        <f t="shared" si="11"/>
        <v>0</v>
      </c>
      <c r="O78" s="248">
        <f t="shared" si="11"/>
        <v>0</v>
      </c>
    </row>
    <row r="79" spans="1:15" ht="13.5" thickBot="1">
      <c r="A79" s="238"/>
      <c r="B79" s="374"/>
      <c r="C79" s="425"/>
      <c r="D79" s="651" t="s">
        <v>321</v>
      </c>
      <c r="E79" s="652">
        <f>SUM(E15+E18+E21+E24+E27+E30+E33+E36+E63)</f>
        <v>130382</v>
      </c>
      <c r="F79" s="652">
        <f aca="true" t="shared" si="12" ref="F79:O79">SUM(F15+F18+F21+F24+F27+F30+F33+F36+F63)</f>
        <v>111021</v>
      </c>
      <c r="G79" s="652">
        <f t="shared" si="12"/>
        <v>66235</v>
      </c>
      <c r="H79" s="652">
        <f t="shared" si="12"/>
        <v>17364</v>
      </c>
      <c r="I79" s="652">
        <f t="shared" si="12"/>
        <v>21683</v>
      </c>
      <c r="J79" s="652">
        <f t="shared" si="12"/>
        <v>5349</v>
      </c>
      <c r="K79" s="652">
        <f t="shared" si="12"/>
        <v>0</v>
      </c>
      <c r="L79" s="652">
        <f t="shared" si="12"/>
        <v>0</v>
      </c>
      <c r="M79" s="652">
        <f t="shared" si="12"/>
        <v>390</v>
      </c>
      <c r="N79" s="652">
        <f t="shared" si="12"/>
        <v>0</v>
      </c>
      <c r="O79" s="653">
        <f t="shared" si="12"/>
        <v>0</v>
      </c>
    </row>
    <row r="80" spans="7:15" ht="12.75">
      <c r="G80" s="210"/>
      <c r="H80" s="210"/>
      <c r="I80" s="210"/>
      <c r="J80" s="210"/>
      <c r="K80" s="210"/>
      <c r="L80" s="210"/>
      <c r="M80" s="210"/>
      <c r="N80" s="213"/>
      <c r="O80" s="210"/>
    </row>
    <row r="81" spans="7:15" ht="12.75">
      <c r="G81" s="210"/>
      <c r="H81" s="210"/>
      <c r="I81" s="210"/>
      <c r="J81" s="210"/>
      <c r="K81" s="210"/>
      <c r="L81" s="210"/>
      <c r="M81" s="210"/>
      <c r="N81" s="213"/>
      <c r="O81" s="210"/>
    </row>
    <row r="82" spans="7:15" ht="12.75">
      <c r="G82" s="210"/>
      <c r="H82" s="210"/>
      <c r="I82" s="210"/>
      <c r="J82" s="210"/>
      <c r="K82" s="210"/>
      <c r="L82" s="210"/>
      <c r="M82" s="210"/>
      <c r="N82" s="213"/>
      <c r="O82" s="210"/>
    </row>
    <row r="83" spans="7:15" ht="12.75">
      <c r="G83" s="210"/>
      <c r="H83" s="210"/>
      <c r="I83" s="210"/>
      <c r="J83" s="210"/>
      <c r="K83" s="210"/>
      <c r="L83" s="210"/>
      <c r="M83" s="210"/>
      <c r="N83" s="213"/>
      <c r="O83" s="210"/>
    </row>
    <row r="84" spans="7:15" ht="12.75">
      <c r="G84" s="210"/>
      <c r="H84" s="210"/>
      <c r="I84" s="210"/>
      <c r="J84" s="210"/>
      <c r="K84" s="210"/>
      <c r="L84" s="210"/>
      <c r="M84" s="210"/>
      <c r="N84" s="213"/>
      <c r="O84" s="210"/>
    </row>
    <row r="85" spans="7:15" ht="12.75">
      <c r="G85" s="210"/>
      <c r="H85" s="210"/>
      <c r="I85" s="210"/>
      <c r="J85" s="210"/>
      <c r="K85" s="210"/>
      <c r="L85" s="210"/>
      <c r="M85" s="210"/>
      <c r="N85" s="213"/>
      <c r="O85" s="210"/>
    </row>
    <row r="86" spans="7:15" ht="12.75">
      <c r="G86" s="210"/>
      <c r="H86" s="210"/>
      <c r="I86" s="210"/>
      <c r="J86" s="210"/>
      <c r="K86" s="210"/>
      <c r="L86" s="210"/>
      <c r="M86" s="210"/>
      <c r="N86" s="213"/>
      <c r="O86" s="210"/>
    </row>
    <row r="87" spans="7:15" ht="12.75">
      <c r="G87" s="210"/>
      <c r="H87" s="210"/>
      <c r="I87" s="210"/>
      <c r="J87" s="210"/>
      <c r="K87" s="210"/>
      <c r="L87" s="210"/>
      <c r="M87" s="210"/>
      <c r="N87" s="213"/>
      <c r="O87" s="210"/>
    </row>
    <row r="88" spans="7:15" ht="12.75">
      <c r="G88" s="210"/>
      <c r="H88" s="210"/>
      <c r="I88" s="210"/>
      <c r="J88" s="210"/>
      <c r="K88" s="210"/>
      <c r="L88" s="210"/>
      <c r="M88" s="210"/>
      <c r="N88" s="213"/>
      <c r="O88" s="210"/>
    </row>
    <row r="89" spans="7:15" ht="12.75">
      <c r="G89" s="210"/>
      <c r="H89" s="210"/>
      <c r="I89" s="210"/>
      <c r="J89" s="210"/>
      <c r="K89" s="210"/>
      <c r="L89" s="210"/>
      <c r="M89" s="210"/>
      <c r="N89" s="213"/>
      <c r="O89" s="210"/>
    </row>
    <row r="90" spans="7:15" ht="12.75">
      <c r="G90" s="210"/>
      <c r="H90" s="210"/>
      <c r="I90" s="210"/>
      <c r="J90" s="210"/>
      <c r="K90" s="210"/>
      <c r="L90" s="210"/>
      <c r="M90" s="210"/>
      <c r="N90" s="213"/>
      <c r="O90" s="210"/>
    </row>
  </sheetData>
  <sheetProtection/>
  <mergeCells count="20">
    <mergeCell ref="B69:C69"/>
    <mergeCell ref="B77:C77"/>
    <mergeCell ref="B73:C73"/>
    <mergeCell ref="G4:K4"/>
    <mergeCell ref="B65:C65"/>
    <mergeCell ref="M5:M6"/>
    <mergeCell ref="G5:G6"/>
    <mergeCell ref="H5:H6"/>
    <mergeCell ref="I5:I6"/>
    <mergeCell ref="J5:J6"/>
    <mergeCell ref="N4:N6"/>
    <mergeCell ref="A2:O2"/>
    <mergeCell ref="B4:D6"/>
    <mergeCell ref="E4:E6"/>
    <mergeCell ref="F4:F6"/>
    <mergeCell ref="A4:A6"/>
    <mergeCell ref="K5:K6"/>
    <mergeCell ref="O4:O6"/>
    <mergeCell ref="L5:L6"/>
    <mergeCell ref="L4:M4"/>
  </mergeCells>
  <printOptions horizontalCentered="1"/>
  <pageMargins left="0.39" right="0.3937007874015748" top="0.42" bottom="0.4724409448818898" header="0.23" footer="0.4724409448818898"/>
  <pageSetup horizontalDpi="600" verticalDpi="600" orientation="landscape" paperSize="9" scale="51" r:id="rId1"/>
  <headerFooter alignWithMargins="0">
    <oddHeader>&amp;L 5. melléklet a 8/2014.(V.5.) önkormányzati rendelethez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11.25390625" style="250" customWidth="1"/>
    <col min="2" max="2" width="8.00390625" style="251" customWidth="1"/>
    <col min="3" max="3" width="65.00390625" style="250" customWidth="1"/>
    <col min="4" max="4" width="11.25390625" style="252" customWidth="1"/>
    <col min="5" max="5" width="9.25390625" style="253" customWidth="1"/>
    <col min="6" max="6" width="9.00390625" style="250" customWidth="1"/>
    <col min="7" max="7" width="9.875" style="250" customWidth="1"/>
    <col min="8" max="8" width="8.75390625" style="250" customWidth="1"/>
    <col min="9" max="9" width="9.625" style="250" customWidth="1"/>
    <col min="10" max="10" width="9.375" style="250" customWidth="1"/>
    <col min="11" max="11" width="10.125" style="250" customWidth="1"/>
    <col min="12" max="12" width="9.375" style="250" customWidth="1"/>
    <col min="13" max="13" width="9.125" style="250" customWidth="1"/>
    <col min="14" max="14" width="8.875" style="261" customWidth="1"/>
    <col min="15" max="15" width="10.875" style="250" customWidth="1"/>
    <col min="16" max="16384" width="9.125" style="250" customWidth="1"/>
  </cols>
  <sheetData>
    <row r="1" spans="1:15" ht="12.75">
      <c r="A1" s="488"/>
      <c r="B1" s="487"/>
      <c r="C1" s="488"/>
      <c r="D1" s="489"/>
      <c r="E1" s="490"/>
      <c r="F1" s="488"/>
      <c r="G1" s="487"/>
      <c r="H1" s="487"/>
      <c r="I1" s="487"/>
      <c r="J1" s="487"/>
      <c r="K1" s="487"/>
      <c r="L1" s="487"/>
      <c r="M1" s="487"/>
      <c r="N1" s="505"/>
      <c r="O1" s="487"/>
    </row>
    <row r="2" spans="1:15" ht="12.75">
      <c r="A2" s="488"/>
      <c r="B2" s="487"/>
      <c r="C2" s="488"/>
      <c r="D2" s="489"/>
      <c r="E2" s="490"/>
      <c r="F2" s="488"/>
      <c r="G2" s="488"/>
      <c r="H2" s="488"/>
      <c r="I2" s="488"/>
      <c r="J2" s="488"/>
      <c r="K2" s="488"/>
      <c r="L2" s="488"/>
      <c r="M2" s="488"/>
      <c r="N2" s="491"/>
      <c r="O2" s="488"/>
    </row>
    <row r="3" spans="1:15" ht="14.25">
      <c r="A3" s="1403" t="s">
        <v>624</v>
      </c>
      <c r="B3" s="1403"/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1403"/>
      <c r="N3" s="1403"/>
      <c r="O3" s="1403"/>
    </row>
    <row r="4" spans="1:15" ht="15">
      <c r="A4" s="488"/>
      <c r="B4" s="1399"/>
      <c r="C4" s="1399"/>
      <c r="D4" s="1399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</row>
    <row r="5" spans="1:15" ht="13.5" thickBot="1">
      <c r="A5" s="506"/>
      <c r="B5" s="507"/>
      <c r="C5" s="506"/>
      <c r="D5" s="508"/>
      <c r="E5" s="509"/>
      <c r="F5" s="506"/>
      <c r="G5" s="506"/>
      <c r="H5" s="506"/>
      <c r="I5" s="506"/>
      <c r="J5" s="506"/>
      <c r="K5" s="506"/>
      <c r="L5" s="506"/>
      <c r="M5" s="509"/>
      <c r="N5" s="510"/>
      <c r="O5" s="510"/>
    </row>
    <row r="6" spans="1:15" ht="12.75">
      <c r="A6" s="1400"/>
      <c r="B6" s="1392" t="s">
        <v>216</v>
      </c>
      <c r="C6" s="1392"/>
      <c r="D6" s="1392"/>
      <c r="E6" s="1395" t="s">
        <v>533</v>
      </c>
      <c r="F6" s="1392" t="s">
        <v>534</v>
      </c>
      <c r="G6" s="1398" t="s">
        <v>177</v>
      </c>
      <c r="H6" s="1398"/>
      <c r="I6" s="1398"/>
      <c r="J6" s="1398"/>
      <c r="K6" s="1398"/>
      <c r="L6" s="1398" t="s">
        <v>178</v>
      </c>
      <c r="M6" s="1398"/>
      <c r="N6" s="1407" t="s">
        <v>535</v>
      </c>
      <c r="O6" s="1404" t="s">
        <v>536</v>
      </c>
    </row>
    <row r="7" spans="1:15" ht="12.75">
      <c r="A7" s="1401"/>
      <c r="B7" s="1393"/>
      <c r="C7" s="1393"/>
      <c r="D7" s="1393"/>
      <c r="E7" s="1396"/>
      <c r="F7" s="1393"/>
      <c r="G7" s="1390" t="s">
        <v>537</v>
      </c>
      <c r="H7" s="1390" t="s">
        <v>538</v>
      </c>
      <c r="I7" s="1390" t="s">
        <v>539</v>
      </c>
      <c r="J7" s="1390" t="s">
        <v>625</v>
      </c>
      <c r="K7" s="1390" t="s">
        <v>541</v>
      </c>
      <c r="L7" s="1393" t="s">
        <v>145</v>
      </c>
      <c r="M7" s="1393" t="s">
        <v>143</v>
      </c>
      <c r="N7" s="1390"/>
      <c r="O7" s="1405"/>
    </row>
    <row r="8" spans="1:15" ht="40.5" customHeight="1" thickBot="1">
      <c r="A8" s="1402"/>
      <c r="B8" s="1394"/>
      <c r="C8" s="1394"/>
      <c r="D8" s="1394"/>
      <c r="E8" s="1397"/>
      <c r="F8" s="1394"/>
      <c r="G8" s="1391"/>
      <c r="H8" s="1391"/>
      <c r="I8" s="1391"/>
      <c r="J8" s="1391"/>
      <c r="K8" s="1391"/>
      <c r="L8" s="1394"/>
      <c r="M8" s="1394"/>
      <c r="N8" s="1391"/>
      <c r="O8" s="1406"/>
    </row>
    <row r="9" spans="1:15" ht="15" customHeight="1">
      <c r="A9" s="255" t="s">
        <v>543</v>
      </c>
      <c r="B9" s="655">
        <v>842421</v>
      </c>
      <c r="C9" s="656" t="s">
        <v>626</v>
      </c>
      <c r="D9" s="657" t="s">
        <v>874</v>
      </c>
      <c r="E9" s="658">
        <v>2000</v>
      </c>
      <c r="F9" s="658">
        <v>16726</v>
      </c>
      <c r="G9" s="658">
        <v>10203</v>
      </c>
      <c r="H9" s="658">
        <v>2388</v>
      </c>
      <c r="I9" s="658">
        <v>4135</v>
      </c>
      <c r="J9" s="658"/>
      <c r="K9" s="658"/>
      <c r="L9" s="658"/>
      <c r="M9" s="658"/>
      <c r="N9" s="658"/>
      <c r="O9" s="659"/>
    </row>
    <row r="10" spans="1:15" ht="15" customHeight="1">
      <c r="A10" s="256"/>
      <c r="B10" s="654"/>
      <c r="C10" s="257"/>
      <c r="D10" s="258" t="s">
        <v>33</v>
      </c>
      <c r="E10" s="259">
        <v>3872</v>
      </c>
      <c r="F10" s="259">
        <f aca="true" t="shared" si="0" ref="F10:F15">SUM(G10:O10)</f>
        <v>19586</v>
      </c>
      <c r="G10" s="259">
        <v>12323</v>
      </c>
      <c r="H10" s="259">
        <v>3027</v>
      </c>
      <c r="I10" s="259">
        <v>3482</v>
      </c>
      <c r="J10" s="259">
        <v>754</v>
      </c>
      <c r="K10" s="259"/>
      <c r="L10" s="259"/>
      <c r="M10" s="259"/>
      <c r="N10" s="259"/>
      <c r="O10" s="260"/>
    </row>
    <row r="11" spans="1:15" ht="15" customHeight="1">
      <c r="A11" s="256"/>
      <c r="B11" s="654"/>
      <c r="C11" s="257"/>
      <c r="D11" s="258" t="s">
        <v>321</v>
      </c>
      <c r="E11" s="259">
        <v>5499</v>
      </c>
      <c r="F11" s="259">
        <f t="shared" si="0"/>
        <v>19278</v>
      </c>
      <c r="G11" s="259">
        <v>12055</v>
      </c>
      <c r="H11" s="259">
        <v>3027</v>
      </c>
      <c r="I11" s="259">
        <v>3465</v>
      </c>
      <c r="J11" s="259">
        <v>731</v>
      </c>
      <c r="K11" s="259"/>
      <c r="L11" s="259"/>
      <c r="M11" s="259"/>
      <c r="N11" s="259"/>
      <c r="O11" s="260"/>
    </row>
    <row r="12" spans="1:15" ht="15" customHeight="1">
      <c r="A12" s="256" t="s">
        <v>543</v>
      </c>
      <c r="B12" s="654">
        <v>841907</v>
      </c>
      <c r="C12" s="257" t="s">
        <v>598</v>
      </c>
      <c r="D12" s="258" t="s">
        <v>874</v>
      </c>
      <c r="E12" s="259">
        <v>14726</v>
      </c>
      <c r="F12" s="259">
        <f t="shared" si="0"/>
        <v>0</v>
      </c>
      <c r="G12" s="259"/>
      <c r="H12" s="259"/>
      <c r="I12" s="259"/>
      <c r="J12" s="259"/>
      <c r="K12" s="259"/>
      <c r="L12" s="259"/>
      <c r="M12" s="259"/>
      <c r="N12" s="259"/>
      <c r="O12" s="260"/>
    </row>
    <row r="13" spans="1:15" ht="15" customHeight="1">
      <c r="A13" s="256"/>
      <c r="B13" s="654"/>
      <c r="C13" s="257"/>
      <c r="D13" s="258" t="s">
        <v>33</v>
      </c>
      <c r="E13" s="259">
        <v>15714</v>
      </c>
      <c r="F13" s="259">
        <f t="shared" si="0"/>
        <v>0</v>
      </c>
      <c r="G13" s="259"/>
      <c r="H13" s="259"/>
      <c r="I13" s="259"/>
      <c r="J13" s="259"/>
      <c r="K13" s="259"/>
      <c r="L13" s="259"/>
      <c r="M13" s="259"/>
      <c r="N13" s="259"/>
      <c r="O13" s="260"/>
    </row>
    <row r="14" spans="1:15" ht="15" customHeight="1">
      <c r="A14" s="256"/>
      <c r="B14" s="654"/>
      <c r="C14" s="257"/>
      <c r="D14" s="258" t="s">
        <v>321</v>
      </c>
      <c r="E14" s="259">
        <v>15398</v>
      </c>
      <c r="F14" s="259">
        <f t="shared" si="0"/>
        <v>0</v>
      </c>
      <c r="G14" s="259"/>
      <c r="H14" s="259"/>
      <c r="I14" s="259"/>
      <c r="J14" s="259"/>
      <c r="K14" s="259"/>
      <c r="L14" s="259"/>
      <c r="M14" s="259"/>
      <c r="N14" s="259"/>
      <c r="O14" s="260"/>
    </row>
    <row r="15" spans="1:15" ht="15" customHeight="1">
      <c r="A15" s="256"/>
      <c r="B15" s="1389" t="s">
        <v>141</v>
      </c>
      <c r="C15" s="1389"/>
      <c r="D15" s="301" t="s">
        <v>874</v>
      </c>
      <c r="E15" s="302">
        <f>SUM(E9+E12)</f>
        <v>16726</v>
      </c>
      <c r="F15" s="302">
        <f t="shared" si="0"/>
        <v>16726</v>
      </c>
      <c r="G15" s="302">
        <f aca="true" t="shared" si="1" ref="G15:O15">SUM(G9+G12)</f>
        <v>10203</v>
      </c>
      <c r="H15" s="302">
        <f t="shared" si="1"/>
        <v>2388</v>
      </c>
      <c r="I15" s="302">
        <f t="shared" si="1"/>
        <v>4135</v>
      </c>
      <c r="J15" s="302">
        <f t="shared" si="1"/>
        <v>0</v>
      </c>
      <c r="K15" s="302">
        <f t="shared" si="1"/>
        <v>0</v>
      </c>
      <c r="L15" s="302">
        <f t="shared" si="1"/>
        <v>0</v>
      </c>
      <c r="M15" s="302">
        <f t="shared" si="1"/>
        <v>0</v>
      </c>
      <c r="N15" s="302">
        <f t="shared" si="1"/>
        <v>0</v>
      </c>
      <c r="O15" s="409">
        <f t="shared" si="1"/>
        <v>0</v>
      </c>
    </row>
    <row r="16" spans="1:15" ht="15" customHeight="1">
      <c r="A16" s="256"/>
      <c r="B16" s="616"/>
      <c r="C16" s="616"/>
      <c r="D16" s="301" t="s">
        <v>33</v>
      </c>
      <c r="E16" s="302">
        <f>SUM(E10+E13)</f>
        <v>19586</v>
      </c>
      <c r="F16" s="302">
        <f>SUM(F10+F13)</f>
        <v>19586</v>
      </c>
      <c r="G16" s="302">
        <f aca="true" t="shared" si="2" ref="G16:O16">SUM(G10+G13)</f>
        <v>12323</v>
      </c>
      <c r="H16" s="302">
        <f t="shared" si="2"/>
        <v>3027</v>
      </c>
      <c r="I16" s="302">
        <f t="shared" si="2"/>
        <v>3482</v>
      </c>
      <c r="J16" s="302">
        <f t="shared" si="2"/>
        <v>754</v>
      </c>
      <c r="K16" s="302">
        <f t="shared" si="2"/>
        <v>0</v>
      </c>
      <c r="L16" s="302">
        <f t="shared" si="2"/>
        <v>0</v>
      </c>
      <c r="M16" s="302">
        <f t="shared" si="2"/>
        <v>0</v>
      </c>
      <c r="N16" s="302">
        <f t="shared" si="2"/>
        <v>0</v>
      </c>
      <c r="O16" s="409">
        <f t="shared" si="2"/>
        <v>0</v>
      </c>
    </row>
    <row r="17" spans="1:15" ht="15" customHeight="1">
      <c r="A17" s="256"/>
      <c r="B17" s="616"/>
      <c r="C17" s="616"/>
      <c r="D17" s="301" t="s">
        <v>321</v>
      </c>
      <c r="E17" s="302">
        <f>SUM(E11+E14)</f>
        <v>20897</v>
      </c>
      <c r="F17" s="302">
        <f aca="true" t="shared" si="3" ref="F17:O17">SUM(F11+F14)</f>
        <v>19278</v>
      </c>
      <c r="G17" s="302">
        <f t="shared" si="3"/>
        <v>12055</v>
      </c>
      <c r="H17" s="302">
        <f t="shared" si="3"/>
        <v>3027</v>
      </c>
      <c r="I17" s="302">
        <f t="shared" si="3"/>
        <v>3465</v>
      </c>
      <c r="J17" s="302">
        <f t="shared" si="3"/>
        <v>731</v>
      </c>
      <c r="K17" s="302">
        <f t="shared" si="3"/>
        <v>0</v>
      </c>
      <c r="L17" s="302">
        <f t="shared" si="3"/>
        <v>0</v>
      </c>
      <c r="M17" s="302">
        <f t="shared" si="3"/>
        <v>0</v>
      </c>
      <c r="N17" s="302">
        <f t="shared" si="3"/>
        <v>0</v>
      </c>
      <c r="O17" s="409">
        <f t="shared" si="3"/>
        <v>0</v>
      </c>
    </row>
    <row r="18" spans="1:15" ht="13.5" customHeight="1">
      <c r="A18" s="256"/>
      <c r="B18" s="495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6"/>
    </row>
    <row r="19" spans="1:15" ht="14.25" customHeight="1">
      <c r="A19" s="256"/>
      <c r="B19" s="498" t="s">
        <v>589</v>
      </c>
      <c r="C19" s="495"/>
      <c r="D19" s="301" t="s">
        <v>874</v>
      </c>
      <c r="E19" s="302">
        <f>SUM(E15)</f>
        <v>16726</v>
      </c>
      <c r="F19" s="302">
        <f aca="true" t="shared" si="4" ref="F19:O19">SUM(F15)</f>
        <v>16726</v>
      </c>
      <c r="G19" s="302">
        <f t="shared" si="4"/>
        <v>10203</v>
      </c>
      <c r="H19" s="302">
        <f t="shared" si="4"/>
        <v>2388</v>
      </c>
      <c r="I19" s="302">
        <f t="shared" si="4"/>
        <v>4135</v>
      </c>
      <c r="J19" s="302">
        <f t="shared" si="4"/>
        <v>0</v>
      </c>
      <c r="K19" s="302">
        <f t="shared" si="4"/>
        <v>0</v>
      </c>
      <c r="L19" s="302">
        <f t="shared" si="4"/>
        <v>0</v>
      </c>
      <c r="M19" s="302">
        <f t="shared" si="4"/>
        <v>0</v>
      </c>
      <c r="N19" s="302">
        <f t="shared" si="4"/>
        <v>0</v>
      </c>
      <c r="O19" s="409">
        <f t="shared" si="4"/>
        <v>0</v>
      </c>
    </row>
    <row r="20" spans="1:15" ht="15" customHeight="1">
      <c r="A20" s="256"/>
      <c r="B20" s="495"/>
      <c r="C20" s="495"/>
      <c r="D20" s="301" t="s">
        <v>33</v>
      </c>
      <c r="E20" s="302">
        <f>SUM(E16)</f>
        <v>19586</v>
      </c>
      <c r="F20" s="302">
        <f aca="true" t="shared" si="5" ref="F20:O20">SUM(F16)</f>
        <v>19586</v>
      </c>
      <c r="G20" s="302">
        <f t="shared" si="5"/>
        <v>12323</v>
      </c>
      <c r="H20" s="302">
        <f t="shared" si="5"/>
        <v>3027</v>
      </c>
      <c r="I20" s="302">
        <f t="shared" si="5"/>
        <v>3482</v>
      </c>
      <c r="J20" s="302">
        <f t="shared" si="5"/>
        <v>754</v>
      </c>
      <c r="K20" s="302">
        <f t="shared" si="5"/>
        <v>0</v>
      </c>
      <c r="L20" s="302">
        <f t="shared" si="5"/>
        <v>0</v>
      </c>
      <c r="M20" s="302">
        <f t="shared" si="5"/>
        <v>0</v>
      </c>
      <c r="N20" s="302">
        <f t="shared" si="5"/>
        <v>0</v>
      </c>
      <c r="O20" s="409">
        <f t="shared" si="5"/>
        <v>0</v>
      </c>
    </row>
    <row r="21" spans="1:15" ht="15" customHeight="1" thickBot="1">
      <c r="A21" s="424"/>
      <c r="B21" s="497"/>
      <c r="C21" s="497"/>
      <c r="D21" s="663" t="s">
        <v>321</v>
      </c>
      <c r="E21" s="558">
        <f>SUM(E17)</f>
        <v>20897</v>
      </c>
      <c r="F21" s="558">
        <f aca="true" t="shared" si="6" ref="F21:O21">SUM(F17)</f>
        <v>19278</v>
      </c>
      <c r="G21" s="558">
        <f t="shared" si="6"/>
        <v>12055</v>
      </c>
      <c r="H21" s="558">
        <f t="shared" si="6"/>
        <v>3027</v>
      </c>
      <c r="I21" s="558">
        <f t="shared" si="6"/>
        <v>3465</v>
      </c>
      <c r="J21" s="558">
        <f t="shared" si="6"/>
        <v>731</v>
      </c>
      <c r="K21" s="558">
        <f t="shared" si="6"/>
        <v>0</v>
      </c>
      <c r="L21" s="558">
        <f t="shared" si="6"/>
        <v>0</v>
      </c>
      <c r="M21" s="558">
        <f t="shared" si="6"/>
        <v>0</v>
      </c>
      <c r="N21" s="558">
        <f t="shared" si="6"/>
        <v>0</v>
      </c>
      <c r="O21" s="559">
        <f t="shared" si="6"/>
        <v>0</v>
      </c>
    </row>
    <row r="22" spans="7:15" ht="12.75">
      <c r="G22" s="251"/>
      <c r="H22" s="251"/>
      <c r="I22" s="251"/>
      <c r="J22" s="251"/>
      <c r="K22" s="251"/>
      <c r="L22" s="251"/>
      <c r="M22" s="251"/>
      <c r="N22" s="254"/>
      <c r="O22" s="251"/>
    </row>
    <row r="23" spans="7:15" ht="12.75">
      <c r="G23" s="251"/>
      <c r="H23" s="251"/>
      <c r="I23" s="251"/>
      <c r="J23" s="251"/>
      <c r="K23" s="251"/>
      <c r="L23" s="251"/>
      <c r="M23" s="251"/>
      <c r="N23" s="254"/>
      <c r="O23" s="251"/>
    </row>
    <row r="24" spans="7:15" ht="12.75">
      <c r="G24" s="251"/>
      <c r="H24" s="251"/>
      <c r="I24" s="251"/>
      <c r="J24" s="251"/>
      <c r="K24" s="251"/>
      <c r="L24" s="251"/>
      <c r="M24" s="251"/>
      <c r="N24" s="254"/>
      <c r="O24" s="251"/>
    </row>
    <row r="25" spans="7:15" ht="12.75">
      <c r="G25" s="251"/>
      <c r="H25" s="251"/>
      <c r="I25" s="251"/>
      <c r="J25" s="251"/>
      <c r="K25" s="251"/>
      <c r="L25" s="251"/>
      <c r="M25" s="251"/>
      <c r="N25" s="254"/>
      <c r="O25" s="251"/>
    </row>
    <row r="26" spans="7:15" ht="12.75">
      <c r="G26" s="251"/>
      <c r="H26" s="251"/>
      <c r="I26" s="251"/>
      <c r="J26" s="251"/>
      <c r="K26" s="251"/>
      <c r="L26" s="251"/>
      <c r="M26" s="251"/>
      <c r="N26" s="254"/>
      <c r="O26" s="251"/>
    </row>
    <row r="27" spans="7:15" ht="12.75">
      <c r="G27" s="251"/>
      <c r="H27" s="251"/>
      <c r="I27" s="251"/>
      <c r="J27" s="251"/>
      <c r="K27" s="251"/>
      <c r="L27" s="251"/>
      <c r="M27" s="251"/>
      <c r="N27" s="254"/>
      <c r="O27" s="251"/>
    </row>
    <row r="28" spans="7:15" ht="12.75">
      <c r="G28" s="251"/>
      <c r="H28" s="251"/>
      <c r="I28" s="251"/>
      <c r="J28" s="251"/>
      <c r="K28" s="251"/>
      <c r="L28" s="251"/>
      <c r="M28" s="251"/>
      <c r="N28" s="254"/>
      <c r="O28" s="251"/>
    </row>
    <row r="29" spans="7:15" ht="12.75">
      <c r="G29" s="251"/>
      <c r="H29" s="251"/>
      <c r="I29" s="251"/>
      <c r="J29" s="251"/>
      <c r="K29" s="251"/>
      <c r="L29" s="251"/>
      <c r="M29" s="251"/>
      <c r="N29" s="254"/>
      <c r="O29" s="251"/>
    </row>
    <row r="30" spans="7:15" ht="12.75">
      <c r="G30" s="251"/>
      <c r="H30" s="251"/>
      <c r="I30" s="251"/>
      <c r="J30" s="251"/>
      <c r="K30" s="251"/>
      <c r="L30" s="251"/>
      <c r="M30" s="251"/>
      <c r="N30" s="254"/>
      <c r="O30" s="251"/>
    </row>
    <row r="31" spans="7:15" ht="12.75">
      <c r="G31" s="251"/>
      <c r="H31" s="251"/>
      <c r="I31" s="251"/>
      <c r="J31" s="251"/>
      <c r="K31" s="251"/>
      <c r="L31" s="251"/>
      <c r="M31" s="251"/>
      <c r="N31" s="254"/>
      <c r="O31" s="251"/>
    </row>
    <row r="32" spans="7:15" ht="12.75">
      <c r="G32" s="251"/>
      <c r="H32" s="251"/>
      <c r="I32" s="251"/>
      <c r="J32" s="251"/>
      <c r="K32" s="251"/>
      <c r="L32" s="251"/>
      <c r="M32" s="251"/>
      <c r="N32" s="254"/>
      <c r="O32" s="251"/>
    </row>
    <row r="33" spans="7:15" ht="12.75">
      <c r="G33" s="251"/>
      <c r="H33" s="251"/>
      <c r="I33" s="251"/>
      <c r="J33" s="251"/>
      <c r="K33" s="251"/>
      <c r="L33" s="251"/>
      <c r="M33" s="251"/>
      <c r="N33" s="254"/>
      <c r="O33" s="251"/>
    </row>
    <row r="34" spans="7:15" ht="12.75">
      <c r="G34" s="251"/>
      <c r="H34" s="251"/>
      <c r="I34" s="251"/>
      <c r="J34" s="251"/>
      <c r="K34" s="251"/>
      <c r="L34" s="251"/>
      <c r="M34" s="251"/>
      <c r="N34" s="254"/>
      <c r="O34" s="251"/>
    </row>
    <row r="35" spans="7:15" ht="12.75">
      <c r="G35" s="251"/>
      <c r="H35" s="251"/>
      <c r="I35" s="251"/>
      <c r="J35" s="251"/>
      <c r="K35" s="251"/>
      <c r="L35" s="251"/>
      <c r="M35" s="251"/>
      <c r="N35" s="254"/>
      <c r="O35" s="251"/>
    </row>
    <row r="36" spans="7:15" ht="12.75">
      <c r="G36" s="251"/>
      <c r="H36" s="251"/>
      <c r="I36" s="251"/>
      <c r="J36" s="251"/>
      <c r="K36" s="251"/>
      <c r="L36" s="251"/>
      <c r="M36" s="251"/>
      <c r="N36" s="254"/>
      <c r="O36" s="251"/>
    </row>
    <row r="37" spans="7:15" ht="12.75">
      <c r="G37" s="251"/>
      <c r="H37" s="251"/>
      <c r="I37" s="251"/>
      <c r="J37" s="251"/>
      <c r="K37" s="251"/>
      <c r="L37" s="251"/>
      <c r="M37" s="251"/>
      <c r="N37" s="254"/>
      <c r="O37" s="251"/>
    </row>
    <row r="38" spans="7:15" ht="12.75">
      <c r="G38" s="251"/>
      <c r="H38" s="251"/>
      <c r="I38" s="251"/>
      <c r="J38" s="251"/>
      <c r="K38" s="251"/>
      <c r="L38" s="251"/>
      <c r="M38" s="251"/>
      <c r="N38" s="254"/>
      <c r="O38" s="251"/>
    </row>
    <row r="39" spans="7:15" ht="12.75">
      <c r="G39" s="251"/>
      <c r="H39" s="251"/>
      <c r="I39" s="251"/>
      <c r="J39" s="251"/>
      <c r="K39" s="251"/>
      <c r="L39" s="251"/>
      <c r="M39" s="251"/>
      <c r="N39" s="254"/>
      <c r="O39" s="251"/>
    </row>
  </sheetData>
  <sheetProtection/>
  <mergeCells count="18">
    <mergeCell ref="B4:O4"/>
    <mergeCell ref="A6:A8"/>
    <mergeCell ref="A3:O3"/>
    <mergeCell ref="M7:M8"/>
    <mergeCell ref="O6:O8"/>
    <mergeCell ref="N6:N8"/>
    <mergeCell ref="L6:M6"/>
    <mergeCell ref="L7:L8"/>
    <mergeCell ref="B15:C15"/>
    <mergeCell ref="I7:I8"/>
    <mergeCell ref="J7:J8"/>
    <mergeCell ref="K7:K8"/>
    <mergeCell ref="B6:D8"/>
    <mergeCell ref="G7:G8"/>
    <mergeCell ref="H7:H8"/>
    <mergeCell ref="E6:E8"/>
    <mergeCell ref="F6:F8"/>
    <mergeCell ref="G6:K6"/>
  </mergeCells>
  <printOptions horizontalCentered="1"/>
  <pageMargins left="0.3937007874015748" right="0.3937007874015748" top="0.7086614173228347" bottom="0.4724409448818898" header="0.45" footer="0.4724409448818898"/>
  <pageSetup horizontalDpi="600" verticalDpi="600" orientation="landscape" paperSize="9" scale="70" r:id="rId1"/>
  <headerFooter alignWithMargins="0">
    <oddHeader>&amp;L&amp;8 5. melléklet a 8/2014.(V.5.)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40"/>
  <sheetViews>
    <sheetView view="pageLayout" zoomScaleNormal="115" zoomScaleSheetLayoutView="100" workbookViewId="0" topLeftCell="A68">
      <selection activeCell="D107" sqref="D107"/>
    </sheetView>
  </sheetViews>
  <sheetFormatPr defaultColWidth="9.00390625" defaultRowHeight="12.75"/>
  <cols>
    <col min="1" max="1" width="13.875" style="209" customWidth="1"/>
    <col min="2" max="2" width="8.00390625" style="210" customWidth="1"/>
    <col min="3" max="3" width="65.00390625" style="209" customWidth="1"/>
    <col min="4" max="4" width="13.625" style="211" customWidth="1"/>
    <col min="5" max="5" width="9.25390625" style="212" customWidth="1"/>
    <col min="6" max="6" width="9.00390625" style="209" customWidth="1"/>
    <col min="7" max="7" width="9.875" style="209" customWidth="1"/>
    <col min="8" max="8" width="8.75390625" style="209" customWidth="1"/>
    <col min="9" max="9" width="9.625" style="209" customWidth="1"/>
    <col min="10" max="10" width="9.375" style="209" customWidth="1"/>
    <col min="11" max="11" width="10.125" style="209" customWidth="1"/>
    <col min="12" max="12" width="9.375" style="209" customWidth="1"/>
    <col min="13" max="13" width="9.125" style="209" customWidth="1"/>
    <col min="14" max="14" width="8.875" style="214" customWidth="1"/>
    <col min="15" max="15" width="10.875" style="209" customWidth="1"/>
    <col min="16" max="16384" width="9.125" style="209" customWidth="1"/>
  </cols>
  <sheetData>
    <row r="1" spans="7:15" ht="12.75">
      <c r="G1" s="210"/>
      <c r="H1" s="210"/>
      <c r="I1" s="210"/>
      <c r="J1" s="210"/>
      <c r="K1" s="210"/>
      <c r="L1" s="210"/>
      <c r="M1" s="210"/>
      <c r="N1" s="213"/>
      <c r="O1" s="210"/>
    </row>
    <row r="2" spans="1:15" ht="14.25">
      <c r="A2" s="1375" t="s">
        <v>609</v>
      </c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</row>
    <row r="3" spans="13:15" ht="13.5" thickBot="1">
      <c r="M3" s="212"/>
      <c r="N3" s="215"/>
      <c r="O3" s="215"/>
    </row>
    <row r="4" spans="1:15" ht="12.75">
      <c r="A4" s="1381"/>
      <c r="B4" s="1377" t="s">
        <v>216</v>
      </c>
      <c r="C4" s="1377"/>
      <c r="D4" s="1377"/>
      <c r="E4" s="1378" t="s">
        <v>533</v>
      </c>
      <c r="F4" s="1377" t="s">
        <v>534</v>
      </c>
      <c r="G4" s="1367" t="s">
        <v>177</v>
      </c>
      <c r="H4" s="1367"/>
      <c r="I4" s="1367"/>
      <c r="J4" s="1367"/>
      <c r="K4" s="1367"/>
      <c r="L4" s="1367" t="s">
        <v>178</v>
      </c>
      <c r="M4" s="1367"/>
      <c r="N4" s="1364" t="s">
        <v>535</v>
      </c>
      <c r="O4" s="1384" t="s">
        <v>536</v>
      </c>
    </row>
    <row r="5" spans="1:15" ht="12.75">
      <c r="A5" s="1382"/>
      <c r="B5" s="1362"/>
      <c r="C5" s="1362"/>
      <c r="D5" s="1362"/>
      <c r="E5" s="1379"/>
      <c r="F5" s="1362"/>
      <c r="G5" s="1365" t="s">
        <v>537</v>
      </c>
      <c r="H5" s="1365" t="s">
        <v>538</v>
      </c>
      <c r="I5" s="1365" t="s">
        <v>539</v>
      </c>
      <c r="J5" s="1365" t="s">
        <v>540</v>
      </c>
      <c r="K5" s="1365" t="s">
        <v>541</v>
      </c>
      <c r="L5" s="1362" t="s">
        <v>145</v>
      </c>
      <c r="M5" s="1362" t="s">
        <v>143</v>
      </c>
      <c r="N5" s="1365"/>
      <c r="O5" s="1385"/>
    </row>
    <row r="6" spans="1:15" ht="39" customHeight="1" thickBot="1">
      <c r="A6" s="1383"/>
      <c r="B6" s="1363"/>
      <c r="C6" s="1363"/>
      <c r="D6" s="1363"/>
      <c r="E6" s="1380"/>
      <c r="F6" s="1363"/>
      <c r="G6" s="1366"/>
      <c r="H6" s="1366"/>
      <c r="I6" s="1366"/>
      <c r="J6" s="1366"/>
      <c r="K6" s="1366"/>
      <c r="L6" s="1363"/>
      <c r="M6" s="1363"/>
      <c r="N6" s="1366"/>
      <c r="O6" s="1386"/>
    </row>
    <row r="7" spans="1:15" ht="12.75" customHeight="1">
      <c r="A7" s="1411" t="s">
        <v>405</v>
      </c>
      <c r="B7" s="1412"/>
      <c r="C7" s="1412"/>
      <c r="D7" s="1412"/>
      <c r="E7" s="217"/>
      <c r="F7" s="218"/>
      <c r="G7" s="219"/>
      <c r="H7" s="219"/>
      <c r="I7" s="219"/>
      <c r="J7" s="219"/>
      <c r="K7" s="219"/>
      <c r="L7" s="218"/>
      <c r="M7" s="218"/>
      <c r="N7" s="219"/>
      <c r="O7" s="220"/>
    </row>
    <row r="8" spans="1:15" ht="12.75" customHeight="1">
      <c r="A8" s="221" t="s">
        <v>542</v>
      </c>
      <c r="B8" s="529">
        <v>421100</v>
      </c>
      <c r="C8" s="530" t="s">
        <v>593</v>
      </c>
      <c r="D8" s="236" t="s">
        <v>874</v>
      </c>
      <c r="E8" s="615"/>
      <c r="F8" s="531">
        <f>SUM(G8:O8)</f>
        <v>0</v>
      </c>
      <c r="G8" s="527"/>
      <c r="H8" s="527"/>
      <c r="I8" s="527"/>
      <c r="J8" s="527"/>
      <c r="K8" s="527"/>
      <c r="L8" s="526"/>
      <c r="M8" s="526"/>
      <c r="N8" s="527"/>
      <c r="O8" s="528"/>
    </row>
    <row r="9" spans="1:15" ht="12.75" customHeight="1">
      <c r="A9" s="221"/>
      <c r="B9" s="529"/>
      <c r="C9" s="530"/>
      <c r="D9" s="236" t="s">
        <v>33</v>
      </c>
      <c r="E9" s="615"/>
      <c r="F9" s="531">
        <f aca="true" t="shared" si="0" ref="F9:F66">SUM(G9:O9)</f>
        <v>0</v>
      </c>
      <c r="G9" s="527"/>
      <c r="H9" s="527"/>
      <c r="I9" s="527"/>
      <c r="J9" s="527"/>
      <c r="K9" s="527"/>
      <c r="L9" s="526"/>
      <c r="M9" s="526"/>
      <c r="N9" s="527"/>
      <c r="O9" s="528"/>
    </row>
    <row r="10" spans="1:15" ht="12.75" customHeight="1">
      <c r="A10" s="221"/>
      <c r="B10" s="529"/>
      <c r="C10" s="530"/>
      <c r="D10" s="236" t="s">
        <v>321</v>
      </c>
      <c r="E10" s="615"/>
      <c r="F10" s="531">
        <f t="shared" si="0"/>
        <v>0</v>
      </c>
      <c r="G10" s="527"/>
      <c r="H10" s="527"/>
      <c r="I10" s="527"/>
      <c r="J10" s="527"/>
      <c r="K10" s="527"/>
      <c r="L10" s="526"/>
      <c r="M10" s="526"/>
      <c r="N10" s="527"/>
      <c r="O10" s="528"/>
    </row>
    <row r="11" spans="1:15" ht="12.75" customHeight="1">
      <c r="A11" s="221" t="s">
        <v>543</v>
      </c>
      <c r="B11" s="537" t="s">
        <v>594</v>
      </c>
      <c r="C11" s="421" t="s">
        <v>595</v>
      </c>
      <c r="D11" s="236" t="s">
        <v>874</v>
      </c>
      <c r="E11" s="223"/>
      <c r="F11" s="531">
        <f t="shared" si="0"/>
        <v>0</v>
      </c>
      <c r="G11" s="224"/>
      <c r="H11" s="224"/>
      <c r="I11" s="224"/>
      <c r="J11" s="224"/>
      <c r="K11" s="224"/>
      <c r="L11" s="224"/>
      <c r="M11" s="224"/>
      <c r="N11" s="224"/>
      <c r="O11" s="225"/>
    </row>
    <row r="12" spans="1:15" ht="12.75" customHeight="1">
      <c r="A12" s="221"/>
      <c r="B12" s="537"/>
      <c r="C12" s="421"/>
      <c r="D12" s="236" t="s">
        <v>33</v>
      </c>
      <c r="E12" s="223">
        <v>2433</v>
      </c>
      <c r="F12" s="531">
        <f t="shared" si="0"/>
        <v>3576</v>
      </c>
      <c r="G12" s="224"/>
      <c r="H12" s="224"/>
      <c r="I12" s="224">
        <v>3576</v>
      </c>
      <c r="J12" s="224"/>
      <c r="K12" s="224"/>
      <c r="L12" s="224"/>
      <c r="M12" s="224"/>
      <c r="N12" s="224"/>
      <c r="O12" s="225"/>
    </row>
    <row r="13" spans="1:15" ht="12.75" customHeight="1">
      <c r="A13" s="221"/>
      <c r="B13" s="537"/>
      <c r="C13" s="421"/>
      <c r="D13" s="236" t="s">
        <v>321</v>
      </c>
      <c r="E13" s="223">
        <v>1844</v>
      </c>
      <c r="F13" s="531">
        <f t="shared" si="0"/>
        <v>2607</v>
      </c>
      <c r="G13" s="224"/>
      <c r="H13" s="224"/>
      <c r="I13" s="224">
        <v>2607</v>
      </c>
      <c r="J13" s="224"/>
      <c r="K13" s="224"/>
      <c r="L13" s="224"/>
      <c r="M13" s="224"/>
      <c r="N13" s="224"/>
      <c r="O13" s="225"/>
    </row>
    <row r="14" spans="1:15" ht="12.75" customHeight="1">
      <c r="A14" s="221" t="s">
        <v>544</v>
      </c>
      <c r="B14" s="537" t="s">
        <v>604</v>
      </c>
      <c r="C14" s="421" t="s">
        <v>282</v>
      </c>
      <c r="D14" s="236" t="s">
        <v>874</v>
      </c>
      <c r="E14" s="223"/>
      <c r="F14" s="531">
        <f t="shared" si="0"/>
        <v>0</v>
      </c>
      <c r="G14" s="224"/>
      <c r="H14" s="224"/>
      <c r="I14" s="224"/>
      <c r="J14" s="224"/>
      <c r="K14" s="224"/>
      <c r="L14" s="224"/>
      <c r="M14" s="224"/>
      <c r="N14" s="224"/>
      <c r="O14" s="225"/>
    </row>
    <row r="15" spans="1:15" ht="12.75" customHeight="1">
      <c r="A15" s="221"/>
      <c r="B15" s="537"/>
      <c r="C15" s="421"/>
      <c r="D15" s="236" t="s">
        <v>33</v>
      </c>
      <c r="E15" s="223"/>
      <c r="F15" s="531">
        <f t="shared" si="0"/>
        <v>808</v>
      </c>
      <c r="G15" s="224"/>
      <c r="H15" s="224"/>
      <c r="I15" s="224">
        <v>808</v>
      </c>
      <c r="J15" s="224"/>
      <c r="K15" s="224"/>
      <c r="L15" s="224"/>
      <c r="M15" s="224"/>
      <c r="N15" s="224"/>
      <c r="O15" s="225"/>
    </row>
    <row r="16" spans="1:15" ht="12.75" customHeight="1">
      <c r="A16" s="221"/>
      <c r="B16" s="537"/>
      <c r="C16" s="421"/>
      <c r="D16" s="236" t="s">
        <v>321</v>
      </c>
      <c r="E16" s="223"/>
      <c r="F16" s="531">
        <f t="shared" si="0"/>
        <v>808</v>
      </c>
      <c r="G16" s="224"/>
      <c r="H16" s="224"/>
      <c r="I16" s="224">
        <v>808</v>
      </c>
      <c r="J16" s="224"/>
      <c r="K16" s="224"/>
      <c r="L16" s="224"/>
      <c r="M16" s="224"/>
      <c r="N16" s="224"/>
      <c r="O16" s="225"/>
    </row>
    <row r="17" spans="1:15" ht="12.75" customHeight="1">
      <c r="A17" s="221" t="s">
        <v>544</v>
      </c>
      <c r="B17" s="303">
        <v>841126</v>
      </c>
      <c r="C17" s="421" t="s">
        <v>596</v>
      </c>
      <c r="D17" s="236" t="s">
        <v>874</v>
      </c>
      <c r="E17" s="223"/>
      <c r="F17" s="531">
        <f t="shared" si="0"/>
        <v>0</v>
      </c>
      <c r="G17" s="224"/>
      <c r="H17" s="224"/>
      <c r="I17" s="224"/>
      <c r="J17" s="224"/>
      <c r="K17" s="224"/>
      <c r="L17" s="224"/>
      <c r="M17" s="224"/>
      <c r="N17" s="224"/>
      <c r="O17" s="225"/>
    </row>
    <row r="18" spans="1:15" ht="12.75" customHeight="1">
      <c r="A18" s="221"/>
      <c r="B18" s="303"/>
      <c r="C18" s="421"/>
      <c r="D18" s="236" t="s">
        <v>33</v>
      </c>
      <c r="E18" s="223">
        <v>14993</v>
      </c>
      <c r="F18" s="531">
        <f t="shared" si="0"/>
        <v>312536</v>
      </c>
      <c r="G18" s="224">
        <v>158284</v>
      </c>
      <c r="H18" s="224">
        <v>38705</v>
      </c>
      <c r="I18" s="224">
        <v>101268</v>
      </c>
      <c r="J18" s="224">
        <v>7769</v>
      </c>
      <c r="K18" s="224"/>
      <c r="L18" s="224"/>
      <c r="M18" s="224">
        <v>6510</v>
      </c>
      <c r="N18" s="224"/>
      <c r="O18" s="225"/>
    </row>
    <row r="19" spans="1:15" ht="12.75" customHeight="1">
      <c r="A19" s="221"/>
      <c r="B19" s="303"/>
      <c r="C19" s="421"/>
      <c r="D19" s="236" t="s">
        <v>321</v>
      </c>
      <c r="E19" s="223">
        <v>15561</v>
      </c>
      <c r="F19" s="531">
        <f t="shared" si="0"/>
        <v>275283</v>
      </c>
      <c r="G19" s="224">
        <v>141886</v>
      </c>
      <c r="H19" s="224">
        <v>37801</v>
      </c>
      <c r="I19" s="224">
        <v>81588</v>
      </c>
      <c r="J19" s="224">
        <v>7497</v>
      </c>
      <c r="K19" s="224"/>
      <c r="L19" s="224"/>
      <c r="M19" s="224">
        <v>6511</v>
      </c>
      <c r="N19" s="224"/>
      <c r="O19" s="225"/>
    </row>
    <row r="20" spans="1:15" ht="12.75" customHeight="1">
      <c r="A20" s="221" t="s">
        <v>544</v>
      </c>
      <c r="B20" s="303">
        <v>841126</v>
      </c>
      <c r="C20" s="421" t="s">
        <v>281</v>
      </c>
      <c r="D20" s="236" t="s">
        <v>874</v>
      </c>
      <c r="E20" s="223"/>
      <c r="F20" s="531">
        <f t="shared" si="0"/>
        <v>0</v>
      </c>
      <c r="G20" s="224"/>
      <c r="H20" s="224"/>
      <c r="I20" s="224"/>
      <c r="J20" s="224"/>
      <c r="K20" s="224"/>
      <c r="L20" s="224"/>
      <c r="M20" s="224"/>
      <c r="N20" s="224"/>
      <c r="O20" s="225"/>
    </row>
    <row r="21" spans="1:15" ht="12.75" customHeight="1">
      <c r="A21" s="221"/>
      <c r="B21" s="303"/>
      <c r="C21" s="421"/>
      <c r="D21" s="236" t="s">
        <v>33</v>
      </c>
      <c r="E21" s="223"/>
      <c r="F21" s="531">
        <f t="shared" si="0"/>
        <v>3461</v>
      </c>
      <c r="G21" s="224"/>
      <c r="H21" s="224"/>
      <c r="I21" s="224">
        <v>3461</v>
      </c>
      <c r="J21" s="224"/>
      <c r="K21" s="224"/>
      <c r="L21" s="224"/>
      <c r="M21" s="224"/>
      <c r="N21" s="224"/>
      <c r="O21" s="225"/>
    </row>
    <row r="22" spans="1:15" ht="12.75" customHeight="1">
      <c r="A22" s="221"/>
      <c r="B22" s="303"/>
      <c r="C22" s="421"/>
      <c r="D22" s="236" t="s">
        <v>321</v>
      </c>
      <c r="E22" s="223"/>
      <c r="F22" s="531">
        <f t="shared" si="0"/>
        <v>3461</v>
      </c>
      <c r="G22" s="224"/>
      <c r="H22" s="224"/>
      <c r="I22" s="224">
        <v>3461</v>
      </c>
      <c r="J22" s="224"/>
      <c r="K22" s="224"/>
      <c r="L22" s="224"/>
      <c r="M22" s="224"/>
      <c r="N22" s="224"/>
      <c r="O22" s="225"/>
    </row>
    <row r="23" spans="1:15" ht="12.75" customHeight="1">
      <c r="A23" s="221" t="s">
        <v>544</v>
      </c>
      <c r="B23" s="303">
        <v>841133</v>
      </c>
      <c r="C23" s="421" t="s">
        <v>546</v>
      </c>
      <c r="D23" s="236" t="s">
        <v>874</v>
      </c>
      <c r="E23" s="223"/>
      <c r="F23" s="531">
        <f t="shared" si="0"/>
        <v>0</v>
      </c>
      <c r="G23" s="224"/>
      <c r="H23" s="224"/>
      <c r="I23" s="224"/>
      <c r="J23" s="224"/>
      <c r="K23" s="224"/>
      <c r="L23" s="224"/>
      <c r="M23" s="224"/>
      <c r="N23" s="224"/>
      <c r="O23" s="225"/>
    </row>
    <row r="24" spans="1:15" ht="12.75" customHeight="1">
      <c r="A24" s="221"/>
      <c r="B24" s="303"/>
      <c r="C24" s="421"/>
      <c r="D24" s="236" t="s">
        <v>33</v>
      </c>
      <c r="E24" s="223"/>
      <c r="F24" s="531">
        <f t="shared" si="0"/>
        <v>37546</v>
      </c>
      <c r="G24" s="224">
        <v>27575</v>
      </c>
      <c r="H24" s="224">
        <v>7080</v>
      </c>
      <c r="I24" s="224">
        <v>2891</v>
      </c>
      <c r="J24" s="224"/>
      <c r="K24" s="224"/>
      <c r="L24" s="224"/>
      <c r="M24" s="224"/>
      <c r="N24" s="224"/>
      <c r="O24" s="225"/>
    </row>
    <row r="25" spans="1:15" ht="12.75" customHeight="1">
      <c r="A25" s="221"/>
      <c r="B25" s="303"/>
      <c r="C25" s="421"/>
      <c r="D25" s="236" t="s">
        <v>321</v>
      </c>
      <c r="E25" s="223"/>
      <c r="F25" s="531">
        <f t="shared" si="0"/>
        <v>37546</v>
      </c>
      <c r="G25" s="224">
        <v>27575</v>
      </c>
      <c r="H25" s="224">
        <v>7080</v>
      </c>
      <c r="I25" s="224">
        <v>2891</v>
      </c>
      <c r="J25" s="224"/>
      <c r="K25" s="224"/>
      <c r="L25" s="224"/>
      <c r="M25" s="224"/>
      <c r="N25" s="224"/>
      <c r="O25" s="225"/>
    </row>
    <row r="26" spans="1:15" ht="12.75" customHeight="1">
      <c r="A26" s="221" t="s">
        <v>544</v>
      </c>
      <c r="B26" s="303">
        <v>841403</v>
      </c>
      <c r="C26" s="421" t="s">
        <v>597</v>
      </c>
      <c r="D26" s="236" t="s">
        <v>874</v>
      </c>
      <c r="E26" s="223"/>
      <c r="F26" s="531">
        <f t="shared" si="0"/>
        <v>0</v>
      </c>
      <c r="G26" s="224"/>
      <c r="H26" s="224"/>
      <c r="I26" s="224"/>
      <c r="J26" s="224"/>
      <c r="K26" s="224"/>
      <c r="L26" s="224"/>
      <c r="M26" s="224"/>
      <c r="N26" s="224"/>
      <c r="O26" s="225"/>
    </row>
    <row r="27" spans="1:15" ht="12.75" customHeight="1">
      <c r="A27" s="221"/>
      <c r="B27" s="303"/>
      <c r="C27" s="421"/>
      <c r="D27" s="236" t="s">
        <v>33</v>
      </c>
      <c r="E27" s="223"/>
      <c r="F27" s="531">
        <f t="shared" si="0"/>
        <v>59863</v>
      </c>
      <c r="G27" s="224">
        <v>47625</v>
      </c>
      <c r="H27" s="224">
        <v>11891</v>
      </c>
      <c r="I27" s="224">
        <v>347</v>
      </c>
      <c r="J27" s="224"/>
      <c r="K27" s="224"/>
      <c r="L27" s="224"/>
      <c r="M27" s="224"/>
      <c r="N27" s="224"/>
      <c r="O27" s="225"/>
    </row>
    <row r="28" spans="1:15" ht="12.75" customHeight="1">
      <c r="A28" s="221"/>
      <c r="B28" s="303"/>
      <c r="C28" s="421"/>
      <c r="D28" s="236" t="s">
        <v>321</v>
      </c>
      <c r="E28" s="223"/>
      <c r="F28" s="531">
        <f t="shared" si="0"/>
        <v>59863</v>
      </c>
      <c r="G28" s="224">
        <v>47625</v>
      </c>
      <c r="H28" s="224">
        <v>11891</v>
      </c>
      <c r="I28" s="224">
        <v>347</v>
      </c>
      <c r="J28" s="224"/>
      <c r="K28" s="224"/>
      <c r="L28" s="224"/>
      <c r="M28" s="224"/>
      <c r="N28" s="224"/>
      <c r="O28" s="225"/>
    </row>
    <row r="29" spans="1:15" ht="12.75" customHeight="1">
      <c r="A29" s="221" t="s">
        <v>544</v>
      </c>
      <c r="B29" s="303">
        <v>841907</v>
      </c>
      <c r="C29" s="421" t="s">
        <v>598</v>
      </c>
      <c r="D29" s="236" t="s">
        <v>874</v>
      </c>
      <c r="E29" s="223"/>
      <c r="F29" s="531">
        <f t="shared" si="0"/>
        <v>0</v>
      </c>
      <c r="G29" s="224"/>
      <c r="H29" s="224"/>
      <c r="I29" s="224"/>
      <c r="J29" s="224"/>
      <c r="K29" s="224"/>
      <c r="L29" s="224"/>
      <c r="M29" s="224"/>
      <c r="N29" s="224"/>
      <c r="O29" s="225"/>
    </row>
    <row r="30" spans="1:15" ht="12.75" customHeight="1">
      <c r="A30" s="221"/>
      <c r="B30" s="303"/>
      <c r="C30" s="421"/>
      <c r="D30" s="236" t="s">
        <v>33</v>
      </c>
      <c r="E30" s="223">
        <v>496932</v>
      </c>
      <c r="F30" s="531">
        <f t="shared" si="0"/>
        <v>0</v>
      </c>
      <c r="G30" s="224"/>
      <c r="H30" s="224"/>
      <c r="I30" s="224"/>
      <c r="J30" s="224"/>
      <c r="K30" s="224"/>
      <c r="L30" s="224"/>
      <c r="M30" s="224"/>
      <c r="N30" s="224"/>
      <c r="O30" s="225"/>
    </row>
    <row r="31" spans="1:15" ht="12.75" customHeight="1">
      <c r="A31" s="221"/>
      <c r="B31" s="303"/>
      <c r="C31" s="421"/>
      <c r="D31" s="236" t="s">
        <v>321</v>
      </c>
      <c r="E31" s="223">
        <v>459658</v>
      </c>
      <c r="F31" s="531">
        <f t="shared" si="0"/>
        <v>0</v>
      </c>
      <c r="G31" s="224"/>
      <c r="H31" s="224"/>
      <c r="I31" s="224"/>
      <c r="J31" s="224"/>
      <c r="K31" s="224"/>
      <c r="L31" s="224"/>
      <c r="M31" s="224"/>
      <c r="N31" s="224"/>
      <c r="O31" s="225"/>
    </row>
    <row r="32" spans="1:15" ht="12.75" customHeight="1">
      <c r="A32" s="221" t="s">
        <v>543</v>
      </c>
      <c r="B32" s="303">
        <v>882129</v>
      </c>
      <c r="C32" s="421" t="s">
        <v>599</v>
      </c>
      <c r="D32" s="236" t="s">
        <v>874</v>
      </c>
      <c r="E32" s="223"/>
      <c r="F32" s="531">
        <f t="shared" si="0"/>
        <v>0</v>
      </c>
      <c r="G32" s="224"/>
      <c r="H32" s="224"/>
      <c r="I32" s="224"/>
      <c r="J32" s="224"/>
      <c r="K32" s="224"/>
      <c r="L32" s="224"/>
      <c r="M32" s="224"/>
      <c r="N32" s="224"/>
      <c r="O32" s="225"/>
    </row>
    <row r="33" spans="1:15" ht="12.75" customHeight="1">
      <c r="A33" s="221"/>
      <c r="B33" s="303"/>
      <c r="C33" s="421"/>
      <c r="D33" s="236" t="s">
        <v>33</v>
      </c>
      <c r="E33" s="223"/>
      <c r="F33" s="531">
        <f t="shared" si="0"/>
        <v>735</v>
      </c>
      <c r="G33" s="224"/>
      <c r="H33" s="224">
        <v>87</v>
      </c>
      <c r="I33" s="224">
        <v>648</v>
      </c>
      <c r="J33" s="224"/>
      <c r="K33" s="224"/>
      <c r="L33" s="224"/>
      <c r="M33" s="224"/>
      <c r="N33" s="224"/>
      <c r="O33" s="225"/>
    </row>
    <row r="34" spans="1:15" ht="12.75" customHeight="1">
      <c r="A34" s="221"/>
      <c r="B34" s="303"/>
      <c r="C34" s="421"/>
      <c r="D34" s="236" t="s">
        <v>321</v>
      </c>
      <c r="E34" s="223"/>
      <c r="F34" s="531">
        <f t="shared" si="0"/>
        <v>285</v>
      </c>
      <c r="G34" s="224"/>
      <c r="H34" s="224"/>
      <c r="I34" s="224">
        <v>285</v>
      </c>
      <c r="J34" s="224"/>
      <c r="K34" s="224"/>
      <c r="L34" s="224"/>
      <c r="M34" s="224"/>
      <c r="N34" s="224"/>
      <c r="O34" s="225"/>
    </row>
    <row r="35" spans="1:15" ht="12.75" customHeight="1">
      <c r="A35" s="221" t="s">
        <v>543</v>
      </c>
      <c r="B35" s="303">
        <v>889943</v>
      </c>
      <c r="C35" s="421" t="s">
        <v>600</v>
      </c>
      <c r="D35" s="236" t="s">
        <v>874</v>
      </c>
      <c r="E35" s="223"/>
      <c r="F35" s="531">
        <f t="shared" si="0"/>
        <v>0</v>
      </c>
      <c r="G35" s="224"/>
      <c r="H35" s="224"/>
      <c r="I35" s="224"/>
      <c r="J35" s="224"/>
      <c r="K35" s="224"/>
      <c r="L35" s="224"/>
      <c r="M35" s="224"/>
      <c r="N35" s="224"/>
      <c r="O35" s="225"/>
    </row>
    <row r="36" spans="1:15" ht="12.75" customHeight="1">
      <c r="A36" s="221"/>
      <c r="B36" s="303"/>
      <c r="C36" s="421"/>
      <c r="D36" s="236" t="s">
        <v>33</v>
      </c>
      <c r="E36" s="223">
        <v>1483</v>
      </c>
      <c r="F36" s="531">
        <f t="shared" si="0"/>
        <v>1200</v>
      </c>
      <c r="G36" s="224"/>
      <c r="H36" s="224"/>
      <c r="I36" s="224"/>
      <c r="J36" s="224"/>
      <c r="K36" s="224"/>
      <c r="L36" s="224"/>
      <c r="M36" s="224"/>
      <c r="N36" s="224">
        <v>1200</v>
      </c>
      <c r="O36" s="225"/>
    </row>
    <row r="37" spans="1:15" ht="12.75" customHeight="1">
      <c r="A37" s="221"/>
      <c r="B37" s="303"/>
      <c r="C37" s="421"/>
      <c r="D37" s="236" t="s">
        <v>321</v>
      </c>
      <c r="E37" s="223">
        <v>3579</v>
      </c>
      <c r="F37" s="531">
        <f t="shared" si="0"/>
        <v>500</v>
      </c>
      <c r="G37" s="224"/>
      <c r="H37" s="224"/>
      <c r="I37" s="224"/>
      <c r="J37" s="224"/>
      <c r="K37" s="224"/>
      <c r="L37" s="224"/>
      <c r="M37" s="224"/>
      <c r="N37" s="224">
        <v>500</v>
      </c>
      <c r="O37" s="225"/>
    </row>
    <row r="38" spans="1:15" s="229" customFormat="1" ht="12.75" customHeight="1">
      <c r="A38" s="222" t="s">
        <v>542</v>
      </c>
      <c r="B38" s="303">
        <v>882111</v>
      </c>
      <c r="C38" s="421" t="s">
        <v>562</v>
      </c>
      <c r="D38" s="236" t="s">
        <v>874</v>
      </c>
      <c r="E38" s="223"/>
      <c r="F38" s="531">
        <f t="shared" si="0"/>
        <v>0</v>
      </c>
      <c r="G38" s="226"/>
      <c r="H38" s="226"/>
      <c r="I38" s="226"/>
      <c r="J38" s="226"/>
      <c r="K38" s="226"/>
      <c r="L38" s="226"/>
      <c r="M38" s="226"/>
      <c r="N38" s="227"/>
      <c r="O38" s="228"/>
    </row>
    <row r="39" spans="1:15" s="229" customFormat="1" ht="12.75" customHeight="1">
      <c r="A39" s="222"/>
      <c r="B39" s="303"/>
      <c r="C39" s="421"/>
      <c r="D39" s="236" t="s">
        <v>33</v>
      </c>
      <c r="E39" s="223"/>
      <c r="F39" s="531">
        <f t="shared" si="0"/>
        <v>64050</v>
      </c>
      <c r="G39" s="226"/>
      <c r="H39" s="226"/>
      <c r="I39" s="226"/>
      <c r="J39" s="226"/>
      <c r="K39" s="226">
        <v>64050</v>
      </c>
      <c r="L39" s="226"/>
      <c r="M39" s="226"/>
      <c r="N39" s="227"/>
      <c r="O39" s="228"/>
    </row>
    <row r="40" spans="1:15" s="229" customFormat="1" ht="12.75" customHeight="1">
      <c r="A40" s="222"/>
      <c r="B40" s="303"/>
      <c r="C40" s="421"/>
      <c r="D40" s="236" t="s">
        <v>321</v>
      </c>
      <c r="E40" s="223"/>
      <c r="F40" s="531">
        <f t="shared" si="0"/>
        <v>63091</v>
      </c>
      <c r="G40" s="226"/>
      <c r="H40" s="226"/>
      <c r="I40" s="226"/>
      <c r="J40" s="226"/>
      <c r="K40" s="226">
        <v>63091</v>
      </c>
      <c r="L40" s="226"/>
      <c r="M40" s="226"/>
      <c r="N40" s="227"/>
      <c r="O40" s="228"/>
    </row>
    <row r="41" spans="1:15" s="229" customFormat="1" ht="12.75" customHeight="1">
      <c r="A41" s="222" t="s">
        <v>543</v>
      </c>
      <c r="B41" s="303">
        <v>882112</v>
      </c>
      <c r="C41" s="421" t="s">
        <v>379</v>
      </c>
      <c r="D41" s="236" t="s">
        <v>874</v>
      </c>
      <c r="E41" s="223"/>
      <c r="F41" s="531">
        <f t="shared" si="0"/>
        <v>0</v>
      </c>
      <c r="G41" s="226"/>
      <c r="H41" s="226"/>
      <c r="I41" s="226"/>
      <c r="J41" s="226"/>
      <c r="K41" s="226"/>
      <c r="L41" s="226"/>
      <c r="M41" s="226"/>
      <c r="N41" s="226"/>
      <c r="O41" s="228"/>
    </row>
    <row r="42" spans="1:15" s="229" customFormat="1" ht="12.75" customHeight="1">
      <c r="A42" s="222"/>
      <c r="B42" s="303"/>
      <c r="C42" s="421"/>
      <c r="D42" s="236" t="s">
        <v>33</v>
      </c>
      <c r="E42" s="223"/>
      <c r="F42" s="531">
        <f t="shared" si="0"/>
        <v>36</v>
      </c>
      <c r="G42" s="226"/>
      <c r="H42" s="226"/>
      <c r="I42" s="226"/>
      <c r="J42" s="226"/>
      <c r="K42" s="226">
        <v>36</v>
      </c>
      <c r="L42" s="226"/>
      <c r="M42" s="226"/>
      <c r="N42" s="226"/>
      <c r="O42" s="228"/>
    </row>
    <row r="43" spans="1:15" s="229" customFormat="1" ht="12.75" customHeight="1">
      <c r="A43" s="222"/>
      <c r="B43" s="303"/>
      <c r="C43" s="421"/>
      <c r="D43" s="236" t="s">
        <v>321</v>
      </c>
      <c r="E43" s="223"/>
      <c r="F43" s="531">
        <f t="shared" si="0"/>
        <v>0</v>
      </c>
      <c r="G43" s="226"/>
      <c r="H43" s="226"/>
      <c r="I43" s="226"/>
      <c r="J43" s="226"/>
      <c r="K43" s="226">
        <v>0</v>
      </c>
      <c r="L43" s="226"/>
      <c r="M43" s="226"/>
      <c r="N43" s="226"/>
      <c r="O43" s="228"/>
    </row>
    <row r="44" spans="1:15" s="229" customFormat="1" ht="12.75" customHeight="1">
      <c r="A44" s="222" t="s">
        <v>542</v>
      </c>
      <c r="B44" s="303">
        <v>882113</v>
      </c>
      <c r="C44" s="421" t="s">
        <v>380</v>
      </c>
      <c r="D44" s="236" t="s">
        <v>874</v>
      </c>
      <c r="E44" s="223"/>
      <c r="F44" s="531">
        <f t="shared" si="0"/>
        <v>0</v>
      </c>
      <c r="G44" s="226"/>
      <c r="H44" s="226"/>
      <c r="I44" s="226"/>
      <c r="J44" s="226"/>
      <c r="K44" s="226"/>
      <c r="L44" s="226"/>
      <c r="M44" s="226"/>
      <c r="N44" s="226"/>
      <c r="O44" s="228"/>
    </row>
    <row r="45" spans="1:15" s="229" customFormat="1" ht="12.75" customHeight="1">
      <c r="A45" s="222"/>
      <c r="B45" s="303"/>
      <c r="C45" s="421"/>
      <c r="D45" s="236" t="s">
        <v>33</v>
      </c>
      <c r="E45" s="223"/>
      <c r="F45" s="531">
        <f t="shared" si="0"/>
        <v>17255</v>
      </c>
      <c r="G45" s="226"/>
      <c r="H45" s="226"/>
      <c r="I45" s="226"/>
      <c r="J45" s="226"/>
      <c r="K45" s="226">
        <v>17255</v>
      </c>
      <c r="L45" s="226"/>
      <c r="M45" s="226"/>
      <c r="N45" s="226"/>
      <c r="O45" s="228"/>
    </row>
    <row r="46" spans="1:15" s="229" customFormat="1" ht="12.75" customHeight="1">
      <c r="A46" s="222"/>
      <c r="B46" s="303"/>
      <c r="C46" s="421"/>
      <c r="D46" s="236" t="s">
        <v>321</v>
      </c>
      <c r="E46" s="223"/>
      <c r="F46" s="531">
        <f t="shared" si="0"/>
        <v>16272</v>
      </c>
      <c r="G46" s="226"/>
      <c r="H46" s="226"/>
      <c r="I46" s="226"/>
      <c r="J46" s="226"/>
      <c r="K46" s="226">
        <v>16272</v>
      </c>
      <c r="L46" s="226"/>
      <c r="M46" s="226"/>
      <c r="N46" s="226"/>
      <c r="O46" s="228"/>
    </row>
    <row r="47" spans="1:15" s="229" customFormat="1" ht="12.75" customHeight="1">
      <c r="A47" s="222" t="s">
        <v>542</v>
      </c>
      <c r="B47" s="303">
        <v>882115</v>
      </c>
      <c r="C47" s="421" t="s">
        <v>403</v>
      </c>
      <c r="D47" s="236" t="s">
        <v>874</v>
      </c>
      <c r="E47" s="223"/>
      <c r="F47" s="531">
        <f t="shared" si="0"/>
        <v>0</v>
      </c>
      <c r="G47" s="226"/>
      <c r="H47" s="226"/>
      <c r="I47" s="226"/>
      <c r="J47" s="226"/>
      <c r="K47" s="226"/>
      <c r="L47" s="226"/>
      <c r="M47" s="226"/>
      <c r="N47" s="226"/>
      <c r="O47" s="228"/>
    </row>
    <row r="48" spans="1:15" s="229" customFormat="1" ht="12.75" customHeight="1">
      <c r="A48" s="222"/>
      <c r="B48" s="303"/>
      <c r="C48" s="421"/>
      <c r="D48" s="236" t="s">
        <v>33</v>
      </c>
      <c r="E48" s="223"/>
      <c r="F48" s="531">
        <f t="shared" si="0"/>
        <v>127</v>
      </c>
      <c r="G48" s="226"/>
      <c r="H48" s="226"/>
      <c r="I48" s="226"/>
      <c r="J48" s="226"/>
      <c r="K48" s="226">
        <v>127</v>
      </c>
      <c r="L48" s="226"/>
      <c r="M48" s="226"/>
      <c r="N48" s="226"/>
      <c r="O48" s="228"/>
    </row>
    <row r="49" spans="1:15" s="229" customFormat="1" ht="12.75" customHeight="1">
      <c r="A49" s="222"/>
      <c r="B49" s="303"/>
      <c r="C49" s="421"/>
      <c r="D49" s="236" t="s">
        <v>321</v>
      </c>
      <c r="E49" s="223"/>
      <c r="F49" s="531">
        <f t="shared" si="0"/>
        <v>0</v>
      </c>
      <c r="G49" s="226"/>
      <c r="H49" s="226"/>
      <c r="I49" s="226"/>
      <c r="J49" s="226"/>
      <c r="K49" s="226">
        <v>0</v>
      </c>
      <c r="L49" s="226"/>
      <c r="M49" s="226"/>
      <c r="N49" s="226"/>
      <c r="O49" s="228"/>
    </row>
    <row r="50" spans="1:15" s="229" customFormat="1" ht="12.75" customHeight="1">
      <c r="A50" s="222" t="s">
        <v>542</v>
      </c>
      <c r="B50" s="303">
        <v>882116</v>
      </c>
      <c r="C50" s="421" t="s">
        <v>601</v>
      </c>
      <c r="D50" s="236" t="s">
        <v>874</v>
      </c>
      <c r="E50" s="223"/>
      <c r="F50" s="531">
        <f t="shared" si="0"/>
        <v>0</v>
      </c>
      <c r="G50" s="226"/>
      <c r="H50" s="226"/>
      <c r="I50" s="226"/>
      <c r="J50" s="226"/>
      <c r="K50" s="226"/>
      <c r="L50" s="226"/>
      <c r="M50" s="226"/>
      <c r="N50" s="226"/>
      <c r="O50" s="228"/>
    </row>
    <row r="51" spans="1:15" s="229" customFormat="1" ht="12.75" customHeight="1">
      <c r="A51" s="222"/>
      <c r="B51" s="303"/>
      <c r="C51" s="421"/>
      <c r="D51" s="236" t="s">
        <v>33</v>
      </c>
      <c r="E51" s="223"/>
      <c r="F51" s="531">
        <f t="shared" si="0"/>
        <v>0</v>
      </c>
      <c r="G51" s="226"/>
      <c r="H51" s="226"/>
      <c r="I51" s="226"/>
      <c r="J51" s="226"/>
      <c r="K51" s="226"/>
      <c r="L51" s="226"/>
      <c r="M51" s="226"/>
      <c r="N51" s="226"/>
      <c r="O51" s="228"/>
    </row>
    <row r="52" spans="1:15" s="229" customFormat="1" ht="12.75" customHeight="1">
      <c r="A52" s="222"/>
      <c r="B52" s="303"/>
      <c r="C52" s="421"/>
      <c r="D52" s="236" t="s">
        <v>321</v>
      </c>
      <c r="E52" s="223"/>
      <c r="F52" s="531">
        <f t="shared" si="0"/>
        <v>0</v>
      </c>
      <c r="G52" s="226"/>
      <c r="H52" s="226"/>
      <c r="I52" s="226"/>
      <c r="J52" s="226"/>
      <c r="K52" s="226"/>
      <c r="L52" s="226"/>
      <c r="M52" s="226"/>
      <c r="N52" s="226"/>
      <c r="O52" s="228"/>
    </row>
    <row r="53" spans="1:15" s="229" customFormat="1" ht="12.75" customHeight="1">
      <c r="A53" s="222" t="s">
        <v>542</v>
      </c>
      <c r="B53" s="303">
        <v>882117</v>
      </c>
      <c r="C53" s="421" t="s">
        <v>385</v>
      </c>
      <c r="D53" s="236" t="s">
        <v>874</v>
      </c>
      <c r="E53" s="223"/>
      <c r="F53" s="531">
        <f t="shared" si="0"/>
        <v>0</v>
      </c>
      <c r="G53" s="226"/>
      <c r="H53" s="226"/>
      <c r="I53" s="226"/>
      <c r="J53" s="226"/>
      <c r="K53" s="226"/>
      <c r="L53" s="226"/>
      <c r="M53" s="226"/>
      <c r="N53" s="226"/>
      <c r="O53" s="228"/>
    </row>
    <row r="54" spans="1:15" s="229" customFormat="1" ht="12.75" customHeight="1">
      <c r="A54" s="222"/>
      <c r="B54" s="303"/>
      <c r="C54" s="421"/>
      <c r="D54" s="236" t="s">
        <v>33</v>
      </c>
      <c r="E54" s="223"/>
      <c r="F54" s="531">
        <f t="shared" si="0"/>
        <v>8259</v>
      </c>
      <c r="G54" s="226"/>
      <c r="H54" s="226"/>
      <c r="I54" s="226"/>
      <c r="J54" s="226"/>
      <c r="K54" s="226">
        <v>8259</v>
      </c>
      <c r="L54" s="226"/>
      <c r="M54" s="226"/>
      <c r="N54" s="226"/>
      <c r="O54" s="228"/>
    </row>
    <row r="55" spans="1:15" s="229" customFormat="1" ht="12.75" customHeight="1">
      <c r="A55" s="222"/>
      <c r="B55" s="303"/>
      <c r="C55" s="421"/>
      <c r="D55" s="236" t="s">
        <v>321</v>
      </c>
      <c r="E55" s="223"/>
      <c r="F55" s="531">
        <f t="shared" si="0"/>
        <v>8190</v>
      </c>
      <c r="G55" s="226"/>
      <c r="H55" s="226"/>
      <c r="I55" s="226"/>
      <c r="J55" s="226"/>
      <c r="K55" s="226">
        <v>8190</v>
      </c>
      <c r="L55" s="226"/>
      <c r="M55" s="226"/>
      <c r="N55" s="226"/>
      <c r="O55" s="228"/>
    </row>
    <row r="56" spans="1:15" s="229" customFormat="1" ht="12.75" customHeight="1">
      <c r="A56" s="222" t="s">
        <v>542</v>
      </c>
      <c r="B56" s="303">
        <v>882119</v>
      </c>
      <c r="C56" s="421" t="s">
        <v>390</v>
      </c>
      <c r="D56" s="236" t="s">
        <v>874</v>
      </c>
      <c r="E56" s="223"/>
      <c r="F56" s="531">
        <f t="shared" si="0"/>
        <v>0</v>
      </c>
      <c r="G56" s="226"/>
      <c r="H56" s="226"/>
      <c r="I56" s="226"/>
      <c r="J56" s="226"/>
      <c r="K56" s="226"/>
      <c r="L56" s="226"/>
      <c r="M56" s="226"/>
      <c r="N56" s="226"/>
      <c r="O56" s="228"/>
    </row>
    <row r="57" spans="1:15" s="229" customFormat="1" ht="12.75" customHeight="1">
      <c r="A57" s="222"/>
      <c r="B57" s="303"/>
      <c r="C57" s="421"/>
      <c r="D57" s="236" t="s">
        <v>33</v>
      </c>
      <c r="E57" s="230"/>
      <c r="F57" s="531">
        <f t="shared" si="0"/>
        <v>300</v>
      </c>
      <c r="G57" s="232"/>
      <c r="H57" s="232"/>
      <c r="I57" s="232"/>
      <c r="J57" s="232"/>
      <c r="K57" s="232">
        <v>300</v>
      </c>
      <c r="L57" s="232"/>
      <c r="M57" s="232"/>
      <c r="N57" s="232"/>
      <c r="O57" s="233"/>
    </row>
    <row r="58" spans="1:15" s="229" customFormat="1" ht="12.75" customHeight="1">
      <c r="A58" s="222"/>
      <c r="B58" s="303"/>
      <c r="C58" s="421"/>
      <c r="D58" s="236" t="s">
        <v>321</v>
      </c>
      <c r="E58" s="230"/>
      <c r="F58" s="531">
        <f t="shared" si="0"/>
        <v>0</v>
      </c>
      <c r="G58" s="232"/>
      <c r="H58" s="232"/>
      <c r="I58" s="232"/>
      <c r="J58" s="232"/>
      <c r="K58" s="232">
        <v>0</v>
      </c>
      <c r="L58" s="232"/>
      <c r="M58" s="232"/>
      <c r="N58" s="232"/>
      <c r="O58" s="233"/>
    </row>
    <row r="59" spans="1:15" s="229" customFormat="1" ht="12.75" customHeight="1">
      <c r="A59" s="221" t="s">
        <v>544</v>
      </c>
      <c r="B59" s="303">
        <v>882201</v>
      </c>
      <c r="C59" s="421" t="s">
        <v>381</v>
      </c>
      <c r="D59" s="236" t="s">
        <v>874</v>
      </c>
      <c r="E59" s="230"/>
      <c r="F59" s="531">
        <f t="shared" si="0"/>
        <v>0</v>
      </c>
      <c r="G59" s="232"/>
      <c r="H59" s="232"/>
      <c r="I59" s="232"/>
      <c r="J59" s="232"/>
      <c r="K59" s="232"/>
      <c r="L59" s="232"/>
      <c r="M59" s="232"/>
      <c r="N59" s="232"/>
      <c r="O59" s="233"/>
    </row>
    <row r="60" spans="1:15" s="229" customFormat="1" ht="12.75" customHeight="1">
      <c r="A60" s="222"/>
      <c r="B60" s="303"/>
      <c r="C60" s="421"/>
      <c r="D60" s="236" t="s">
        <v>33</v>
      </c>
      <c r="E60" s="230"/>
      <c r="F60" s="531">
        <f t="shared" si="0"/>
        <v>5910</v>
      </c>
      <c r="G60" s="232"/>
      <c r="H60" s="232"/>
      <c r="I60" s="232"/>
      <c r="J60" s="232"/>
      <c r="K60" s="232">
        <v>5910</v>
      </c>
      <c r="L60" s="232"/>
      <c r="M60" s="232"/>
      <c r="N60" s="232"/>
      <c r="O60" s="233"/>
    </row>
    <row r="61" spans="1:15" s="229" customFormat="1" ht="12.75" customHeight="1">
      <c r="A61" s="222"/>
      <c r="B61" s="303"/>
      <c r="C61" s="421"/>
      <c r="D61" s="236" t="s">
        <v>321</v>
      </c>
      <c r="E61" s="230"/>
      <c r="F61" s="531">
        <f t="shared" si="0"/>
        <v>5331</v>
      </c>
      <c r="G61" s="232"/>
      <c r="H61" s="232"/>
      <c r="I61" s="232"/>
      <c r="J61" s="232"/>
      <c r="K61" s="232">
        <v>5331</v>
      </c>
      <c r="L61" s="232"/>
      <c r="M61" s="232"/>
      <c r="N61" s="232"/>
      <c r="O61" s="233"/>
    </row>
    <row r="62" spans="1:15" ht="12.75" customHeight="1">
      <c r="A62" s="221" t="s">
        <v>544</v>
      </c>
      <c r="B62" s="303">
        <v>960900</v>
      </c>
      <c r="C62" s="421" t="s">
        <v>602</v>
      </c>
      <c r="D62" s="236" t="s">
        <v>874</v>
      </c>
      <c r="E62" s="230"/>
      <c r="F62" s="531">
        <f t="shared" si="0"/>
        <v>0</v>
      </c>
      <c r="G62" s="232"/>
      <c r="H62" s="232"/>
      <c r="I62" s="232"/>
      <c r="J62" s="232"/>
      <c r="K62" s="230"/>
      <c r="L62" s="230"/>
      <c r="M62" s="232"/>
      <c r="N62" s="232"/>
      <c r="O62" s="233"/>
    </row>
    <row r="63" spans="1:15" ht="12.75" customHeight="1">
      <c r="A63" s="221"/>
      <c r="B63" s="303"/>
      <c r="C63" s="421"/>
      <c r="D63" s="236" t="s">
        <v>33</v>
      </c>
      <c r="E63" s="231">
        <v>3527</v>
      </c>
      <c r="F63" s="531">
        <f t="shared" si="0"/>
        <v>3706</v>
      </c>
      <c r="G63" s="232">
        <v>1525</v>
      </c>
      <c r="H63" s="232">
        <v>706</v>
      </c>
      <c r="I63" s="232">
        <v>1475</v>
      </c>
      <c r="J63" s="232"/>
      <c r="K63" s="230"/>
      <c r="L63" s="230"/>
      <c r="M63" s="232"/>
      <c r="N63" s="232"/>
      <c r="O63" s="233"/>
    </row>
    <row r="64" spans="1:15" ht="12.75" customHeight="1">
      <c r="A64" s="221"/>
      <c r="B64" s="303"/>
      <c r="C64" s="421"/>
      <c r="D64" s="236" t="s">
        <v>321</v>
      </c>
      <c r="E64" s="231">
        <v>4162</v>
      </c>
      <c r="F64" s="531">
        <f t="shared" si="0"/>
        <v>1298</v>
      </c>
      <c r="G64" s="232">
        <v>253</v>
      </c>
      <c r="H64" s="232">
        <v>61</v>
      </c>
      <c r="I64" s="232">
        <v>984</v>
      </c>
      <c r="J64" s="232"/>
      <c r="K64" s="230"/>
      <c r="L64" s="230"/>
      <c r="M64" s="232"/>
      <c r="N64" s="232"/>
      <c r="O64" s="233"/>
    </row>
    <row r="65" spans="1:15" ht="12.75" customHeight="1">
      <c r="A65" s="1413" t="s">
        <v>623</v>
      </c>
      <c r="B65" s="1388"/>
      <c r="C65" s="1388"/>
      <c r="D65" s="647" t="s">
        <v>874</v>
      </c>
      <c r="E65" s="230">
        <f>SUM(E8+E11+E14+E17+E20+E23+E26+E29+E32+E35+E38+E41+E44+E47+E50+E53+E56+E59+E62)</f>
        <v>0</v>
      </c>
      <c r="F65" s="531">
        <f t="shared" si="0"/>
        <v>0</v>
      </c>
      <c r="G65" s="230">
        <f aca="true" t="shared" si="1" ref="G65:O65">SUM(G8+G11+G14+G17+G20+G23+G26+G29+G32+G35+G38+G41+G44+G47+G50+G53+G56+G59+G62)</f>
        <v>0</v>
      </c>
      <c r="H65" s="230">
        <f t="shared" si="1"/>
        <v>0</v>
      </c>
      <c r="I65" s="230">
        <f t="shared" si="1"/>
        <v>0</v>
      </c>
      <c r="J65" s="230">
        <f t="shared" si="1"/>
        <v>0</v>
      </c>
      <c r="K65" s="230">
        <f t="shared" si="1"/>
        <v>0</v>
      </c>
      <c r="L65" s="230">
        <f t="shared" si="1"/>
        <v>0</v>
      </c>
      <c r="M65" s="230">
        <f t="shared" si="1"/>
        <v>0</v>
      </c>
      <c r="N65" s="230">
        <f t="shared" si="1"/>
        <v>0</v>
      </c>
      <c r="O65" s="249">
        <f t="shared" si="1"/>
        <v>0</v>
      </c>
    </row>
    <row r="66" spans="1:15" s="237" customFormat="1" ht="12.75" customHeight="1">
      <c r="A66" s="679"/>
      <c r="B66" s="680"/>
      <c r="C66" s="680"/>
      <c r="D66" s="236" t="s">
        <v>33</v>
      </c>
      <c r="E66" s="230">
        <f>SUM(E9+E12+E15+E18+E21+E24+E27+E30+E33+E36+E39+E42+E45+E48+E51+E54+E57+E60+E63)</f>
        <v>519368</v>
      </c>
      <c r="F66" s="531">
        <f t="shared" si="0"/>
        <v>519368</v>
      </c>
      <c r="G66" s="230">
        <f aca="true" t="shared" si="2" ref="G66:O66">SUM(G9+G12+G15+G18+G21+G24+G27+G30+G33+G36+G39+G42+G45+G48+G51+G54+G57+G60+G63)</f>
        <v>235009</v>
      </c>
      <c r="H66" s="230">
        <f t="shared" si="2"/>
        <v>58469</v>
      </c>
      <c r="I66" s="230">
        <f t="shared" si="2"/>
        <v>114474</v>
      </c>
      <c r="J66" s="230">
        <f t="shared" si="2"/>
        <v>7769</v>
      </c>
      <c r="K66" s="230">
        <f t="shared" si="2"/>
        <v>95937</v>
      </c>
      <c r="L66" s="230">
        <f t="shared" si="2"/>
        <v>0</v>
      </c>
      <c r="M66" s="230">
        <f t="shared" si="2"/>
        <v>6510</v>
      </c>
      <c r="N66" s="230">
        <f t="shared" si="2"/>
        <v>1200</v>
      </c>
      <c r="O66" s="249">
        <f t="shared" si="2"/>
        <v>0</v>
      </c>
    </row>
    <row r="67" spans="1:15" s="237" customFormat="1" ht="12.75" customHeight="1" thickBot="1">
      <c r="A67" s="494"/>
      <c r="B67" s="457"/>
      <c r="C67" s="457"/>
      <c r="D67" s="681" t="s">
        <v>321</v>
      </c>
      <c r="E67" s="410">
        <f>SUM(E10+E13+E16+E19+E22+E25+E28+E31+E34+E37+E40+E43+E46+E49+E52+E55+E58+E61+E64)</f>
        <v>484804</v>
      </c>
      <c r="F67" s="410">
        <f aca="true" t="shared" si="3" ref="F67:O67">SUM(F10+F13+F16+F19+F22+F25+F28+F31+F34+F37+F40+F43+F46+F49+F52+F55+F58+F61+F64)</f>
        <v>474535</v>
      </c>
      <c r="G67" s="410">
        <f t="shared" si="3"/>
        <v>217339</v>
      </c>
      <c r="H67" s="410">
        <f t="shared" si="3"/>
        <v>56833</v>
      </c>
      <c r="I67" s="410">
        <f t="shared" si="3"/>
        <v>92971</v>
      </c>
      <c r="J67" s="410">
        <f t="shared" si="3"/>
        <v>7497</v>
      </c>
      <c r="K67" s="410">
        <f t="shared" si="3"/>
        <v>92884</v>
      </c>
      <c r="L67" s="410">
        <f t="shared" si="3"/>
        <v>0</v>
      </c>
      <c r="M67" s="410">
        <f t="shared" si="3"/>
        <v>6511</v>
      </c>
      <c r="N67" s="410">
        <f t="shared" si="3"/>
        <v>500</v>
      </c>
      <c r="O67" s="470">
        <f t="shared" si="3"/>
        <v>0</v>
      </c>
    </row>
    <row r="68" spans="1:15" ht="12.75" customHeight="1" thickBot="1">
      <c r="A68" s="376"/>
      <c r="B68" s="375"/>
      <c r="C68" s="375"/>
      <c r="D68" s="377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</row>
    <row r="69" spans="1:15" ht="12.75" customHeight="1">
      <c r="A69" s="1381"/>
      <c r="B69" s="1377" t="s">
        <v>216</v>
      </c>
      <c r="C69" s="1377"/>
      <c r="D69" s="1377"/>
      <c r="E69" s="1378" t="s">
        <v>533</v>
      </c>
      <c r="F69" s="1377" t="s">
        <v>534</v>
      </c>
      <c r="G69" s="1367" t="s">
        <v>177</v>
      </c>
      <c r="H69" s="1367"/>
      <c r="I69" s="1367"/>
      <c r="J69" s="1367"/>
      <c r="K69" s="1367"/>
      <c r="L69" s="1367" t="s">
        <v>178</v>
      </c>
      <c r="M69" s="1367"/>
      <c r="N69" s="1364" t="s">
        <v>535</v>
      </c>
      <c r="O69" s="1384" t="s">
        <v>536</v>
      </c>
    </row>
    <row r="70" spans="1:15" ht="12.75" customHeight="1">
      <c r="A70" s="1382"/>
      <c r="B70" s="1362"/>
      <c r="C70" s="1362"/>
      <c r="D70" s="1362"/>
      <c r="E70" s="1379"/>
      <c r="F70" s="1362"/>
      <c r="G70" s="1365" t="s">
        <v>537</v>
      </c>
      <c r="H70" s="1365" t="s">
        <v>538</v>
      </c>
      <c r="I70" s="1365" t="s">
        <v>539</v>
      </c>
      <c r="J70" s="1365" t="s">
        <v>540</v>
      </c>
      <c r="K70" s="1365" t="s">
        <v>541</v>
      </c>
      <c r="L70" s="1362" t="s">
        <v>145</v>
      </c>
      <c r="M70" s="1362" t="s">
        <v>143</v>
      </c>
      <c r="N70" s="1365"/>
      <c r="O70" s="1385"/>
    </row>
    <row r="71" spans="1:15" ht="12.75" customHeight="1" thickBot="1">
      <c r="A71" s="1383"/>
      <c r="B71" s="1363"/>
      <c r="C71" s="1363"/>
      <c r="D71" s="1363"/>
      <c r="E71" s="1380"/>
      <c r="F71" s="1363"/>
      <c r="G71" s="1366"/>
      <c r="H71" s="1366"/>
      <c r="I71" s="1366"/>
      <c r="J71" s="1366"/>
      <c r="K71" s="1366"/>
      <c r="L71" s="1363"/>
      <c r="M71" s="1363"/>
      <c r="N71" s="1366"/>
      <c r="O71" s="1386"/>
    </row>
    <row r="72" spans="1:15" ht="12.75" customHeight="1">
      <c r="A72" s="1414" t="s">
        <v>611</v>
      </c>
      <c r="B72" s="1415"/>
      <c r="C72" s="1415"/>
      <c r="D72" s="682"/>
      <c r="E72" s="683"/>
      <c r="F72" s="684"/>
      <c r="G72" s="685"/>
      <c r="H72" s="685"/>
      <c r="I72" s="685"/>
      <c r="J72" s="685"/>
      <c r="K72" s="685"/>
      <c r="L72" s="686"/>
      <c r="M72" s="686"/>
      <c r="N72" s="685"/>
      <c r="O72" s="687"/>
    </row>
    <row r="73" spans="1:15" ht="12.75" customHeight="1">
      <c r="A73" s="221" t="s">
        <v>544</v>
      </c>
      <c r="B73" s="529">
        <v>841126</v>
      </c>
      <c r="C73" s="530" t="s">
        <v>612</v>
      </c>
      <c r="D73" s="236" t="s">
        <v>33</v>
      </c>
      <c r="E73" s="234">
        <v>15385</v>
      </c>
      <c r="F73" s="231">
        <f aca="true" t="shared" si="4" ref="F73:F82">SUM(G73:O73)</f>
        <v>20282</v>
      </c>
      <c r="G73" s="344">
        <v>14405</v>
      </c>
      <c r="H73" s="344">
        <v>3639</v>
      </c>
      <c r="I73" s="344">
        <v>2238</v>
      </c>
      <c r="J73" s="345"/>
      <c r="K73" s="345"/>
      <c r="L73" s="230"/>
      <c r="M73" s="230"/>
      <c r="N73" s="345"/>
      <c r="O73" s="235"/>
    </row>
    <row r="74" spans="1:15" ht="12.75" customHeight="1">
      <c r="A74" s="221"/>
      <c r="B74" s="529"/>
      <c r="C74" s="530"/>
      <c r="D74" s="236" t="s">
        <v>321</v>
      </c>
      <c r="E74" s="234">
        <v>19894</v>
      </c>
      <c r="F74" s="231">
        <f t="shared" si="4"/>
        <v>19536</v>
      </c>
      <c r="G74" s="344">
        <v>13932</v>
      </c>
      <c r="H74" s="344">
        <v>3366</v>
      </c>
      <c r="I74" s="344">
        <v>2238</v>
      </c>
      <c r="J74" s="345"/>
      <c r="K74" s="345"/>
      <c r="L74" s="230"/>
      <c r="M74" s="230"/>
      <c r="N74" s="345"/>
      <c r="O74" s="235"/>
    </row>
    <row r="75" spans="1:15" ht="12.75" customHeight="1">
      <c r="A75" s="221" t="s">
        <v>542</v>
      </c>
      <c r="B75" s="529">
        <v>882111</v>
      </c>
      <c r="C75" s="530" t="s">
        <v>613</v>
      </c>
      <c r="D75" s="236" t="s">
        <v>33</v>
      </c>
      <c r="E75" s="234">
        <v>1728</v>
      </c>
      <c r="F75" s="231">
        <f t="shared" si="4"/>
        <v>3187</v>
      </c>
      <c r="G75" s="345"/>
      <c r="H75" s="345"/>
      <c r="I75" s="344"/>
      <c r="J75" s="345"/>
      <c r="K75" s="344">
        <v>3187</v>
      </c>
      <c r="L75" s="230"/>
      <c r="M75" s="230"/>
      <c r="N75" s="345"/>
      <c r="O75" s="235"/>
    </row>
    <row r="76" spans="1:15" ht="12.75" customHeight="1">
      <c r="A76" s="221"/>
      <c r="B76" s="529"/>
      <c r="C76" s="530"/>
      <c r="D76" s="236" t="s">
        <v>321</v>
      </c>
      <c r="E76" s="234"/>
      <c r="F76" s="231">
        <f t="shared" si="4"/>
        <v>3186</v>
      </c>
      <c r="G76" s="345"/>
      <c r="H76" s="345"/>
      <c r="I76" s="344"/>
      <c r="J76" s="345"/>
      <c r="K76" s="344">
        <v>3186</v>
      </c>
      <c r="L76" s="230"/>
      <c r="M76" s="230"/>
      <c r="N76" s="345"/>
      <c r="O76" s="235"/>
    </row>
    <row r="77" spans="1:15" ht="12.75" customHeight="1">
      <c r="A77" s="221" t="s">
        <v>542</v>
      </c>
      <c r="B77" s="537" t="s">
        <v>615</v>
      </c>
      <c r="C77" s="421" t="s">
        <v>616</v>
      </c>
      <c r="D77" s="236" t="s">
        <v>33</v>
      </c>
      <c r="E77" s="230">
        <v>185</v>
      </c>
      <c r="F77" s="231">
        <f t="shared" si="4"/>
        <v>0</v>
      </c>
      <c r="G77" s="232"/>
      <c r="H77" s="232"/>
      <c r="I77" s="232"/>
      <c r="J77" s="232"/>
      <c r="K77" s="232"/>
      <c r="L77" s="232"/>
      <c r="M77" s="232"/>
      <c r="N77" s="232"/>
      <c r="O77" s="233"/>
    </row>
    <row r="78" spans="1:15" ht="12.75" customHeight="1">
      <c r="A78" s="221"/>
      <c r="B78" s="537"/>
      <c r="C78" s="421"/>
      <c r="D78" s="236" t="s">
        <v>321</v>
      </c>
      <c r="E78" s="230"/>
      <c r="F78" s="231">
        <f t="shared" si="4"/>
        <v>0</v>
      </c>
      <c r="G78" s="232"/>
      <c r="H78" s="232"/>
      <c r="I78" s="232"/>
      <c r="J78" s="232"/>
      <c r="K78" s="232"/>
      <c r="L78" s="232"/>
      <c r="M78" s="232"/>
      <c r="N78" s="232"/>
      <c r="O78" s="233"/>
    </row>
    <row r="79" spans="1:15" ht="12.75" customHeight="1">
      <c r="A79" s="221" t="s">
        <v>542</v>
      </c>
      <c r="B79" s="537" t="s">
        <v>614</v>
      </c>
      <c r="C79" s="421" t="s">
        <v>380</v>
      </c>
      <c r="D79" s="236" t="s">
        <v>33</v>
      </c>
      <c r="E79" s="230">
        <v>401</v>
      </c>
      <c r="F79" s="231">
        <f t="shared" si="4"/>
        <v>518</v>
      </c>
      <c r="G79" s="232"/>
      <c r="H79" s="232"/>
      <c r="I79" s="232"/>
      <c r="J79" s="232"/>
      <c r="K79" s="232">
        <v>518</v>
      </c>
      <c r="L79" s="232"/>
      <c r="M79" s="232"/>
      <c r="N79" s="232"/>
      <c r="O79" s="233"/>
    </row>
    <row r="80" spans="1:15" ht="12.75" customHeight="1">
      <c r="A80" s="221"/>
      <c r="B80" s="537"/>
      <c r="C80" s="421"/>
      <c r="D80" s="236" t="s">
        <v>321</v>
      </c>
      <c r="E80" s="230"/>
      <c r="F80" s="231">
        <f t="shared" si="4"/>
        <v>518</v>
      </c>
      <c r="G80" s="232"/>
      <c r="H80" s="232"/>
      <c r="I80" s="232"/>
      <c r="J80" s="232"/>
      <c r="K80" s="232">
        <v>518</v>
      </c>
      <c r="L80" s="232"/>
      <c r="M80" s="232"/>
      <c r="N80" s="232"/>
      <c r="O80" s="233"/>
    </row>
    <row r="81" spans="1:15" ht="12.75" customHeight="1">
      <c r="A81" s="221" t="s">
        <v>542</v>
      </c>
      <c r="B81" s="537" t="s">
        <v>752</v>
      </c>
      <c r="C81" s="421" t="s">
        <v>548</v>
      </c>
      <c r="D81" s="236" t="s">
        <v>33</v>
      </c>
      <c r="E81" s="230">
        <v>6288</v>
      </c>
      <c r="F81" s="231">
        <f t="shared" si="4"/>
        <v>0</v>
      </c>
      <c r="G81" s="232"/>
      <c r="H81" s="232"/>
      <c r="I81" s="232"/>
      <c r="J81" s="232"/>
      <c r="K81" s="232"/>
      <c r="L81" s="232"/>
      <c r="M81" s="232"/>
      <c r="N81" s="232"/>
      <c r="O81" s="233"/>
    </row>
    <row r="82" spans="1:15" ht="12.75" customHeight="1">
      <c r="A82" s="221"/>
      <c r="B82" s="537"/>
      <c r="C82" s="421"/>
      <c r="D82" s="236" t="s">
        <v>321</v>
      </c>
      <c r="E82" s="230">
        <v>3876</v>
      </c>
      <c r="F82" s="231">
        <f t="shared" si="4"/>
        <v>0</v>
      </c>
      <c r="G82" s="232"/>
      <c r="H82" s="232"/>
      <c r="I82" s="232"/>
      <c r="J82" s="232"/>
      <c r="K82" s="232"/>
      <c r="L82" s="232"/>
      <c r="M82" s="232"/>
      <c r="N82" s="232"/>
      <c r="O82" s="233"/>
    </row>
    <row r="83" spans="1:15" ht="12.75" customHeight="1">
      <c r="A83" s="1410" t="s">
        <v>619</v>
      </c>
      <c r="B83" s="1371"/>
      <c r="C83" s="1371"/>
      <c r="D83" s="236" t="s">
        <v>33</v>
      </c>
      <c r="E83" s="230">
        <f aca="true" t="shared" si="5" ref="E83:O83">SUM(E73+E75+E77+E79+E81)</f>
        <v>23987</v>
      </c>
      <c r="F83" s="230">
        <f t="shared" si="5"/>
        <v>23987</v>
      </c>
      <c r="G83" s="230">
        <f t="shared" si="5"/>
        <v>14405</v>
      </c>
      <c r="H83" s="230">
        <f t="shared" si="5"/>
        <v>3639</v>
      </c>
      <c r="I83" s="230">
        <f t="shared" si="5"/>
        <v>2238</v>
      </c>
      <c r="J83" s="230">
        <f t="shared" si="5"/>
        <v>0</v>
      </c>
      <c r="K83" s="230">
        <f t="shared" si="5"/>
        <v>3705</v>
      </c>
      <c r="L83" s="230">
        <f t="shared" si="5"/>
        <v>0</v>
      </c>
      <c r="M83" s="230">
        <f t="shared" si="5"/>
        <v>0</v>
      </c>
      <c r="N83" s="230">
        <f t="shared" si="5"/>
        <v>0</v>
      </c>
      <c r="O83" s="249">
        <f t="shared" si="5"/>
        <v>0</v>
      </c>
    </row>
    <row r="84" spans="1:15" ht="12.75" customHeight="1">
      <c r="A84" s="617"/>
      <c r="B84" s="613"/>
      <c r="C84" s="613"/>
      <c r="D84" s="647" t="s">
        <v>321</v>
      </c>
      <c r="E84" s="230">
        <f>SUM(E74+E76+E78+E80+E82)</f>
        <v>23770</v>
      </c>
      <c r="F84" s="230">
        <f aca="true" t="shared" si="6" ref="F84:O84">SUM(F74+F76+F78+F80+F82)</f>
        <v>23240</v>
      </c>
      <c r="G84" s="230">
        <f t="shared" si="6"/>
        <v>13932</v>
      </c>
      <c r="H84" s="230">
        <f t="shared" si="6"/>
        <v>3366</v>
      </c>
      <c r="I84" s="230">
        <f t="shared" si="6"/>
        <v>2238</v>
      </c>
      <c r="J84" s="230">
        <f t="shared" si="6"/>
        <v>0</v>
      </c>
      <c r="K84" s="230">
        <f t="shared" si="6"/>
        <v>3704</v>
      </c>
      <c r="L84" s="230">
        <f t="shared" si="6"/>
        <v>0</v>
      </c>
      <c r="M84" s="230">
        <f t="shared" si="6"/>
        <v>0</v>
      </c>
      <c r="N84" s="230">
        <f t="shared" si="6"/>
        <v>0</v>
      </c>
      <c r="O84" s="249">
        <f t="shared" si="6"/>
        <v>0</v>
      </c>
    </row>
    <row r="85" spans="1:15" ht="12.75" customHeight="1">
      <c r="A85" s="1382"/>
      <c r="B85" s="1416"/>
      <c r="C85" s="1416"/>
      <c r="D85" s="236"/>
      <c r="E85" s="230"/>
      <c r="F85" s="231"/>
      <c r="G85" s="232"/>
      <c r="H85" s="232"/>
      <c r="I85" s="232"/>
      <c r="J85" s="232"/>
      <c r="K85" s="232"/>
      <c r="L85" s="232"/>
      <c r="M85" s="232"/>
      <c r="N85" s="232"/>
      <c r="O85" s="233"/>
    </row>
    <row r="86" spans="1:15" ht="12.75" customHeight="1">
      <c r="A86" s="1410" t="s">
        <v>617</v>
      </c>
      <c r="B86" s="1371"/>
      <c r="C86" s="1371"/>
      <c r="D86" s="236"/>
      <c r="E86" s="230"/>
      <c r="F86" s="231"/>
      <c r="G86" s="232"/>
      <c r="H86" s="232"/>
      <c r="I86" s="232"/>
      <c r="J86" s="232"/>
      <c r="K86" s="232"/>
      <c r="L86" s="232"/>
      <c r="M86" s="232"/>
      <c r="N86" s="232"/>
      <c r="O86" s="233"/>
    </row>
    <row r="87" spans="1:15" ht="12.75" customHeight="1">
      <c r="A87" s="221" t="s">
        <v>544</v>
      </c>
      <c r="B87" s="537" t="s">
        <v>618</v>
      </c>
      <c r="C87" s="421" t="s">
        <v>612</v>
      </c>
      <c r="D87" s="236" t="s">
        <v>33</v>
      </c>
      <c r="E87" s="230">
        <v>13056</v>
      </c>
      <c r="F87" s="231">
        <f aca="true" t="shared" si="7" ref="F87:F96">SUM(G87:O87)</f>
        <v>17894</v>
      </c>
      <c r="G87" s="232">
        <v>12203</v>
      </c>
      <c r="H87" s="232">
        <v>3236</v>
      </c>
      <c r="I87" s="232">
        <v>2455</v>
      </c>
      <c r="J87" s="232"/>
      <c r="K87" s="232"/>
      <c r="L87" s="232"/>
      <c r="M87" s="232"/>
      <c r="N87" s="232"/>
      <c r="O87" s="233"/>
    </row>
    <row r="88" spans="1:15" ht="12.75" customHeight="1">
      <c r="A88" s="221"/>
      <c r="B88" s="537"/>
      <c r="C88" s="421"/>
      <c r="D88" s="236" t="s">
        <v>321</v>
      </c>
      <c r="E88" s="230">
        <v>17466</v>
      </c>
      <c r="F88" s="231">
        <f t="shared" si="7"/>
        <v>17394</v>
      </c>
      <c r="G88" s="232">
        <v>12065</v>
      </c>
      <c r="H88" s="232">
        <v>2910</v>
      </c>
      <c r="I88" s="232">
        <v>2419</v>
      </c>
      <c r="J88" s="232"/>
      <c r="K88" s="232"/>
      <c r="L88" s="232"/>
      <c r="M88" s="232"/>
      <c r="N88" s="232"/>
      <c r="O88" s="233"/>
    </row>
    <row r="89" spans="1:15" ht="12.75" customHeight="1">
      <c r="A89" s="221" t="s">
        <v>542</v>
      </c>
      <c r="B89" s="303">
        <v>882111</v>
      </c>
      <c r="C89" s="675" t="s">
        <v>613</v>
      </c>
      <c r="D89" s="236" t="s">
        <v>33</v>
      </c>
      <c r="E89" s="230">
        <v>1193</v>
      </c>
      <c r="F89" s="231">
        <f t="shared" si="7"/>
        <v>3826</v>
      </c>
      <c r="G89" s="232"/>
      <c r="H89" s="232"/>
      <c r="I89" s="232"/>
      <c r="J89" s="232"/>
      <c r="K89" s="232">
        <v>3826</v>
      </c>
      <c r="L89" s="232"/>
      <c r="M89" s="232"/>
      <c r="N89" s="232"/>
      <c r="O89" s="233"/>
    </row>
    <row r="90" spans="1:15" ht="12.75" customHeight="1">
      <c r="A90" s="221"/>
      <c r="B90" s="303"/>
      <c r="C90" s="675"/>
      <c r="D90" s="236" t="s">
        <v>321</v>
      </c>
      <c r="E90" s="230"/>
      <c r="F90" s="231">
        <f t="shared" si="7"/>
        <v>3823</v>
      </c>
      <c r="G90" s="232"/>
      <c r="H90" s="232"/>
      <c r="I90" s="232"/>
      <c r="J90" s="232"/>
      <c r="K90" s="232">
        <v>3823</v>
      </c>
      <c r="L90" s="232"/>
      <c r="M90" s="232"/>
      <c r="N90" s="232"/>
      <c r="O90" s="233"/>
    </row>
    <row r="91" spans="1:15" ht="12.75" customHeight="1">
      <c r="A91" s="221" t="s">
        <v>542</v>
      </c>
      <c r="B91" s="303">
        <v>882113</v>
      </c>
      <c r="C91" s="675" t="s">
        <v>380</v>
      </c>
      <c r="D91" s="236" t="s">
        <v>33</v>
      </c>
      <c r="E91" s="230">
        <v>90</v>
      </c>
      <c r="F91" s="231">
        <f t="shared" si="7"/>
        <v>820</v>
      </c>
      <c r="G91" s="232"/>
      <c r="H91" s="232"/>
      <c r="I91" s="232"/>
      <c r="J91" s="232"/>
      <c r="K91" s="232">
        <v>820</v>
      </c>
      <c r="L91" s="232"/>
      <c r="M91" s="232"/>
      <c r="N91" s="232"/>
      <c r="O91" s="233"/>
    </row>
    <row r="92" spans="1:15" ht="12.75" customHeight="1">
      <c r="A92" s="221"/>
      <c r="B92" s="303"/>
      <c r="C92" s="675"/>
      <c r="D92" s="236" t="s">
        <v>321</v>
      </c>
      <c r="E92" s="230"/>
      <c r="F92" s="231">
        <f t="shared" si="7"/>
        <v>820</v>
      </c>
      <c r="G92" s="232"/>
      <c r="H92" s="232"/>
      <c r="I92" s="232"/>
      <c r="J92" s="232"/>
      <c r="K92" s="232">
        <v>820</v>
      </c>
      <c r="L92" s="232"/>
      <c r="M92" s="232"/>
      <c r="N92" s="232"/>
      <c r="O92" s="233"/>
    </row>
    <row r="93" spans="1:15" ht="12.75" customHeight="1">
      <c r="A93" s="221" t="s">
        <v>542</v>
      </c>
      <c r="B93" s="303">
        <v>882115</v>
      </c>
      <c r="C93" s="675" t="s">
        <v>410</v>
      </c>
      <c r="D93" s="236" t="s">
        <v>33</v>
      </c>
      <c r="E93" s="230">
        <v>1350</v>
      </c>
      <c r="F93" s="231">
        <f t="shared" si="7"/>
        <v>0</v>
      </c>
      <c r="G93" s="232"/>
      <c r="H93" s="232"/>
      <c r="I93" s="232"/>
      <c r="J93" s="232"/>
      <c r="K93" s="232"/>
      <c r="L93" s="232"/>
      <c r="M93" s="232"/>
      <c r="N93" s="232"/>
      <c r="O93" s="233"/>
    </row>
    <row r="94" spans="1:15" ht="12.75" customHeight="1">
      <c r="A94" s="221"/>
      <c r="B94" s="303"/>
      <c r="C94" s="675"/>
      <c r="D94" s="236" t="s">
        <v>321</v>
      </c>
      <c r="E94" s="230"/>
      <c r="F94" s="231">
        <f t="shared" si="7"/>
        <v>0</v>
      </c>
      <c r="G94" s="232"/>
      <c r="H94" s="232"/>
      <c r="I94" s="232"/>
      <c r="J94" s="232"/>
      <c r="K94" s="232"/>
      <c r="L94" s="232"/>
      <c r="M94" s="232"/>
      <c r="N94" s="232"/>
      <c r="O94" s="233"/>
    </row>
    <row r="95" spans="1:15" ht="12.75" customHeight="1">
      <c r="A95" s="221" t="s">
        <v>542</v>
      </c>
      <c r="B95" s="303">
        <v>841907</v>
      </c>
      <c r="C95" s="421" t="s">
        <v>548</v>
      </c>
      <c r="D95" s="236" t="s">
        <v>33</v>
      </c>
      <c r="E95" s="230">
        <v>6851</v>
      </c>
      <c r="F95" s="231">
        <f t="shared" si="7"/>
        <v>0</v>
      </c>
      <c r="G95" s="232"/>
      <c r="H95" s="232"/>
      <c r="I95" s="232"/>
      <c r="J95" s="232"/>
      <c r="K95" s="232"/>
      <c r="L95" s="232"/>
      <c r="M95" s="232"/>
      <c r="N95" s="232"/>
      <c r="O95" s="233"/>
    </row>
    <row r="96" spans="1:15" ht="12.75" customHeight="1">
      <c r="A96" s="221"/>
      <c r="B96" s="303"/>
      <c r="C96" s="421"/>
      <c r="D96" s="236" t="s">
        <v>321</v>
      </c>
      <c r="E96" s="230">
        <v>5581</v>
      </c>
      <c r="F96" s="231">
        <f t="shared" si="7"/>
        <v>0</v>
      </c>
      <c r="G96" s="232"/>
      <c r="H96" s="232"/>
      <c r="I96" s="232"/>
      <c r="J96" s="232"/>
      <c r="K96" s="232"/>
      <c r="L96" s="232"/>
      <c r="M96" s="232"/>
      <c r="N96" s="232"/>
      <c r="O96" s="233"/>
    </row>
    <row r="97" spans="1:15" ht="12.75" customHeight="1">
      <c r="A97" s="1410" t="s">
        <v>620</v>
      </c>
      <c r="B97" s="1371"/>
      <c r="C97" s="1371"/>
      <c r="D97" s="236" t="s">
        <v>33</v>
      </c>
      <c r="E97" s="230">
        <f aca="true" t="shared" si="8" ref="E97:O97">SUM(E87+E89+E91+E93+E95)</f>
        <v>22540</v>
      </c>
      <c r="F97" s="230">
        <f t="shared" si="8"/>
        <v>22540</v>
      </c>
      <c r="G97" s="230">
        <f t="shared" si="8"/>
        <v>12203</v>
      </c>
      <c r="H97" s="230">
        <f t="shared" si="8"/>
        <v>3236</v>
      </c>
      <c r="I97" s="230">
        <f t="shared" si="8"/>
        <v>2455</v>
      </c>
      <c r="J97" s="230">
        <f t="shared" si="8"/>
        <v>0</v>
      </c>
      <c r="K97" s="230">
        <f t="shared" si="8"/>
        <v>4646</v>
      </c>
      <c r="L97" s="230">
        <f t="shared" si="8"/>
        <v>0</v>
      </c>
      <c r="M97" s="230">
        <f t="shared" si="8"/>
        <v>0</v>
      </c>
      <c r="N97" s="230">
        <f t="shared" si="8"/>
        <v>0</v>
      </c>
      <c r="O97" s="249">
        <f t="shared" si="8"/>
        <v>0</v>
      </c>
    </row>
    <row r="98" spans="1:15" ht="12.75" customHeight="1">
      <c r="A98" s="1382"/>
      <c r="B98" s="1416"/>
      <c r="C98" s="1416"/>
      <c r="D98" s="647" t="s">
        <v>321</v>
      </c>
      <c r="E98" s="230">
        <f>SUM(E88+E90+E92+E94+E96)</f>
        <v>23047</v>
      </c>
      <c r="F98" s="230">
        <f aca="true" t="shared" si="9" ref="F98:O98">SUM(F88+F90+F92+F94+F96)</f>
        <v>22037</v>
      </c>
      <c r="G98" s="230">
        <f t="shared" si="9"/>
        <v>12065</v>
      </c>
      <c r="H98" s="230">
        <f t="shared" si="9"/>
        <v>2910</v>
      </c>
      <c r="I98" s="230">
        <f t="shared" si="9"/>
        <v>2419</v>
      </c>
      <c r="J98" s="230">
        <f t="shared" si="9"/>
        <v>0</v>
      </c>
      <c r="K98" s="230">
        <f t="shared" si="9"/>
        <v>4643</v>
      </c>
      <c r="L98" s="230">
        <f t="shared" si="9"/>
        <v>0</v>
      </c>
      <c r="M98" s="230">
        <f t="shared" si="9"/>
        <v>0</v>
      </c>
      <c r="N98" s="230">
        <f t="shared" si="9"/>
        <v>0</v>
      </c>
      <c r="O98" s="249">
        <f t="shared" si="9"/>
        <v>0</v>
      </c>
    </row>
    <row r="99" spans="1:15" ht="12.75" customHeight="1">
      <c r="A99" s="1410" t="s">
        <v>621</v>
      </c>
      <c r="B99" s="1371"/>
      <c r="C99" s="1371"/>
      <c r="D99" s="236"/>
      <c r="E99" s="230"/>
      <c r="F99" s="231"/>
      <c r="G99" s="232"/>
      <c r="H99" s="232"/>
      <c r="I99" s="232"/>
      <c r="J99" s="232"/>
      <c r="K99" s="232"/>
      <c r="L99" s="232"/>
      <c r="M99" s="232"/>
      <c r="N99" s="232"/>
      <c r="O99" s="233"/>
    </row>
    <row r="100" spans="1:15" ht="12.75" customHeight="1">
      <c r="A100" s="221" t="s">
        <v>544</v>
      </c>
      <c r="B100" s="303">
        <v>841126</v>
      </c>
      <c r="C100" s="421" t="s">
        <v>612</v>
      </c>
      <c r="D100" s="236" t="s">
        <v>33</v>
      </c>
      <c r="E100" s="230">
        <v>4169</v>
      </c>
      <c r="F100" s="231">
        <f aca="true" t="shared" si="10" ref="F100:F107">SUM(G100:O100)</f>
        <v>6345</v>
      </c>
      <c r="G100" s="232">
        <v>3794</v>
      </c>
      <c r="H100" s="232">
        <v>959</v>
      </c>
      <c r="I100" s="232">
        <v>1592</v>
      </c>
      <c r="J100" s="232"/>
      <c r="K100" s="232"/>
      <c r="L100" s="232"/>
      <c r="M100" s="232"/>
      <c r="N100" s="232"/>
      <c r="O100" s="233"/>
    </row>
    <row r="101" spans="1:15" ht="12.75" customHeight="1">
      <c r="A101" s="221"/>
      <c r="B101" s="303"/>
      <c r="C101" s="421"/>
      <c r="D101" s="236" t="s">
        <v>321</v>
      </c>
      <c r="E101" s="230">
        <v>5023</v>
      </c>
      <c r="F101" s="231">
        <f t="shared" si="10"/>
        <v>5848</v>
      </c>
      <c r="G101" s="232">
        <v>3450</v>
      </c>
      <c r="H101" s="232">
        <v>848</v>
      </c>
      <c r="I101" s="232">
        <v>1550</v>
      </c>
      <c r="J101" s="232"/>
      <c r="K101" s="232"/>
      <c r="L101" s="232"/>
      <c r="M101" s="232"/>
      <c r="N101" s="232"/>
      <c r="O101" s="233"/>
    </row>
    <row r="102" spans="1:15" ht="12.75" customHeight="1">
      <c r="A102" s="221" t="s">
        <v>542</v>
      </c>
      <c r="B102" s="303">
        <v>882111</v>
      </c>
      <c r="C102" s="421" t="s">
        <v>613</v>
      </c>
      <c r="D102" s="236" t="s">
        <v>33</v>
      </c>
      <c r="E102" s="230">
        <v>185</v>
      </c>
      <c r="F102" s="231">
        <f t="shared" si="10"/>
        <v>73</v>
      </c>
      <c r="G102" s="232"/>
      <c r="H102" s="232"/>
      <c r="I102" s="232"/>
      <c r="J102" s="232"/>
      <c r="K102" s="232">
        <v>73</v>
      </c>
      <c r="L102" s="232"/>
      <c r="M102" s="232"/>
      <c r="N102" s="232"/>
      <c r="O102" s="233"/>
    </row>
    <row r="103" spans="1:15" ht="12.75" customHeight="1">
      <c r="A103" s="221"/>
      <c r="B103" s="303"/>
      <c r="C103" s="421"/>
      <c r="D103" s="236" t="s">
        <v>321</v>
      </c>
      <c r="E103" s="230"/>
      <c r="F103" s="231">
        <f t="shared" si="10"/>
        <v>73</v>
      </c>
      <c r="G103" s="232"/>
      <c r="H103" s="232"/>
      <c r="I103" s="232"/>
      <c r="J103" s="232"/>
      <c r="K103" s="232">
        <v>73</v>
      </c>
      <c r="L103" s="232"/>
      <c r="M103" s="232"/>
      <c r="N103" s="232"/>
      <c r="O103" s="233"/>
    </row>
    <row r="104" spans="1:15" ht="12.75" customHeight="1">
      <c r="A104" s="221" t="s">
        <v>542</v>
      </c>
      <c r="B104" s="303">
        <v>882113</v>
      </c>
      <c r="C104" s="421" t="s">
        <v>380</v>
      </c>
      <c r="D104" s="236" t="s">
        <v>33</v>
      </c>
      <c r="E104" s="230">
        <v>11</v>
      </c>
      <c r="F104" s="231">
        <f t="shared" si="10"/>
        <v>0</v>
      </c>
      <c r="G104" s="232"/>
      <c r="H104" s="232"/>
      <c r="I104" s="232"/>
      <c r="J104" s="232"/>
      <c r="K104" s="232"/>
      <c r="L104" s="232"/>
      <c r="M104" s="232"/>
      <c r="N104" s="232"/>
      <c r="O104" s="233"/>
    </row>
    <row r="105" spans="1:15" ht="12.75" customHeight="1">
      <c r="A105" s="221"/>
      <c r="B105" s="303"/>
      <c r="C105" s="421"/>
      <c r="D105" s="236" t="s">
        <v>321</v>
      </c>
      <c r="E105" s="230"/>
      <c r="F105" s="231">
        <f t="shared" si="10"/>
        <v>0</v>
      </c>
      <c r="G105" s="232"/>
      <c r="H105" s="232"/>
      <c r="I105" s="232"/>
      <c r="J105" s="232"/>
      <c r="K105" s="232"/>
      <c r="L105" s="232"/>
      <c r="M105" s="232"/>
      <c r="N105" s="232"/>
      <c r="O105" s="233"/>
    </row>
    <row r="106" spans="1:15" ht="12.75" customHeight="1">
      <c r="A106" s="221" t="s">
        <v>542</v>
      </c>
      <c r="B106" s="303">
        <v>847907</v>
      </c>
      <c r="C106" s="421" t="s">
        <v>548</v>
      </c>
      <c r="D106" s="236" t="s">
        <v>33</v>
      </c>
      <c r="E106" s="230">
        <v>2053</v>
      </c>
      <c r="F106" s="231">
        <f t="shared" si="10"/>
        <v>0</v>
      </c>
      <c r="G106" s="232"/>
      <c r="H106" s="232"/>
      <c r="I106" s="232"/>
      <c r="J106" s="232"/>
      <c r="K106" s="232"/>
      <c r="L106" s="232"/>
      <c r="M106" s="232"/>
      <c r="N106" s="232"/>
      <c r="O106" s="233"/>
    </row>
    <row r="107" spans="1:15" ht="12.75" customHeight="1">
      <c r="A107" s="221"/>
      <c r="B107" s="303"/>
      <c r="C107" s="421"/>
      <c r="D107" s="236" t="s">
        <v>321</v>
      </c>
      <c r="E107" s="230">
        <v>1421</v>
      </c>
      <c r="F107" s="231">
        <f t="shared" si="10"/>
        <v>0</v>
      </c>
      <c r="G107" s="232"/>
      <c r="H107" s="232"/>
      <c r="I107" s="232"/>
      <c r="J107" s="232"/>
      <c r="K107" s="232"/>
      <c r="L107" s="232"/>
      <c r="M107" s="232"/>
      <c r="N107" s="232"/>
      <c r="O107" s="233"/>
    </row>
    <row r="108" spans="1:15" ht="12.75" customHeight="1">
      <c r="A108" s="1410" t="s">
        <v>622</v>
      </c>
      <c r="B108" s="1371"/>
      <c r="C108" s="1371"/>
      <c r="D108" s="236" t="s">
        <v>33</v>
      </c>
      <c r="E108" s="230">
        <f aca="true" t="shared" si="11" ref="E108:O108">SUM(E100+E102+E104+E106)</f>
        <v>6418</v>
      </c>
      <c r="F108" s="230">
        <f t="shared" si="11"/>
        <v>6418</v>
      </c>
      <c r="G108" s="230">
        <f t="shared" si="11"/>
        <v>3794</v>
      </c>
      <c r="H108" s="230">
        <f t="shared" si="11"/>
        <v>959</v>
      </c>
      <c r="I108" s="230">
        <f t="shared" si="11"/>
        <v>1592</v>
      </c>
      <c r="J108" s="230">
        <f t="shared" si="11"/>
        <v>0</v>
      </c>
      <c r="K108" s="230">
        <f t="shared" si="11"/>
        <v>73</v>
      </c>
      <c r="L108" s="230">
        <f t="shared" si="11"/>
        <v>0</v>
      </c>
      <c r="M108" s="230">
        <f t="shared" si="11"/>
        <v>0</v>
      </c>
      <c r="N108" s="230">
        <f t="shared" si="11"/>
        <v>0</v>
      </c>
      <c r="O108" s="249">
        <f t="shared" si="11"/>
        <v>0</v>
      </c>
    </row>
    <row r="109" spans="1:15" ht="12.75" customHeight="1">
      <c r="A109" s="614"/>
      <c r="B109" s="674"/>
      <c r="C109" s="674"/>
      <c r="D109" s="647" t="s">
        <v>321</v>
      </c>
      <c r="E109" s="230">
        <f>SUM(E101+E103+E105+E107)</f>
        <v>6444</v>
      </c>
      <c r="F109" s="230">
        <f aca="true" t="shared" si="12" ref="F109:O109">SUM(F101+F103+F105+F107)</f>
        <v>5921</v>
      </c>
      <c r="G109" s="230">
        <f t="shared" si="12"/>
        <v>3450</v>
      </c>
      <c r="H109" s="230">
        <f t="shared" si="12"/>
        <v>848</v>
      </c>
      <c r="I109" s="230">
        <f t="shared" si="12"/>
        <v>1550</v>
      </c>
      <c r="J109" s="230">
        <f t="shared" si="12"/>
        <v>0</v>
      </c>
      <c r="K109" s="230">
        <f t="shared" si="12"/>
        <v>73</v>
      </c>
      <c r="L109" s="230">
        <f t="shared" si="12"/>
        <v>0</v>
      </c>
      <c r="M109" s="230">
        <f t="shared" si="12"/>
        <v>0</v>
      </c>
      <c r="N109" s="230">
        <f t="shared" si="12"/>
        <v>0</v>
      </c>
      <c r="O109" s="249">
        <f t="shared" si="12"/>
        <v>0</v>
      </c>
    </row>
    <row r="110" spans="1:15" ht="12.75" customHeight="1">
      <c r="A110" s="614"/>
      <c r="B110" s="674"/>
      <c r="C110" s="674"/>
      <c r="D110" s="236"/>
      <c r="E110" s="230"/>
      <c r="F110" s="230"/>
      <c r="G110" s="230"/>
      <c r="H110" s="230"/>
      <c r="I110" s="421"/>
      <c r="J110" s="230"/>
      <c r="K110" s="230"/>
      <c r="L110" s="232"/>
      <c r="M110" s="232"/>
      <c r="N110" s="232"/>
      <c r="O110" s="233"/>
    </row>
    <row r="111" spans="1:15" ht="12.75" customHeight="1">
      <c r="A111" s="1410" t="s">
        <v>807</v>
      </c>
      <c r="B111" s="1371"/>
      <c r="C111" s="1371"/>
      <c r="D111" s="650" t="s">
        <v>873</v>
      </c>
      <c r="E111" s="230">
        <v>0</v>
      </c>
      <c r="F111" s="230">
        <v>0</v>
      </c>
      <c r="G111" s="231">
        <v>0</v>
      </c>
      <c r="H111" s="231">
        <v>0</v>
      </c>
      <c r="I111" s="676">
        <v>0</v>
      </c>
      <c r="J111" s="231">
        <v>0</v>
      </c>
      <c r="K111" s="231">
        <v>0</v>
      </c>
      <c r="L111" s="231">
        <v>0</v>
      </c>
      <c r="M111" s="231">
        <v>0</v>
      </c>
      <c r="N111" s="231">
        <v>0</v>
      </c>
      <c r="O111" s="248">
        <v>0</v>
      </c>
    </row>
    <row r="112" spans="1:15" ht="12.75" customHeight="1">
      <c r="A112" s="677"/>
      <c r="B112" s="678"/>
      <c r="C112" s="678"/>
      <c r="D112" s="647" t="s">
        <v>33</v>
      </c>
      <c r="E112" s="230">
        <f aca="true" t="shared" si="13" ref="E112:O112">SUM(E83+E97+E108)</f>
        <v>52945</v>
      </c>
      <c r="F112" s="230">
        <f t="shared" si="13"/>
        <v>52945</v>
      </c>
      <c r="G112" s="230">
        <f t="shared" si="13"/>
        <v>30402</v>
      </c>
      <c r="H112" s="230">
        <f t="shared" si="13"/>
        <v>7834</v>
      </c>
      <c r="I112" s="230">
        <f t="shared" si="13"/>
        <v>6285</v>
      </c>
      <c r="J112" s="230">
        <f t="shared" si="13"/>
        <v>0</v>
      </c>
      <c r="K112" s="230">
        <f t="shared" si="13"/>
        <v>8424</v>
      </c>
      <c r="L112" s="230">
        <f t="shared" si="13"/>
        <v>0</v>
      </c>
      <c r="M112" s="230">
        <f t="shared" si="13"/>
        <v>0</v>
      </c>
      <c r="N112" s="230">
        <f t="shared" si="13"/>
        <v>0</v>
      </c>
      <c r="O112" s="249">
        <f t="shared" si="13"/>
        <v>0</v>
      </c>
    </row>
    <row r="113" spans="1:15" ht="12.75" customHeight="1">
      <c r="A113" s="677"/>
      <c r="B113" s="678"/>
      <c r="C113" s="678"/>
      <c r="D113" s="647" t="s">
        <v>321</v>
      </c>
      <c r="E113" s="230">
        <f>SUM(E84+E98+E109)</f>
        <v>53261</v>
      </c>
      <c r="F113" s="230">
        <f aca="true" t="shared" si="14" ref="F113:O113">SUM(F84+F98+F109)</f>
        <v>51198</v>
      </c>
      <c r="G113" s="230">
        <f t="shared" si="14"/>
        <v>29447</v>
      </c>
      <c r="H113" s="230">
        <f t="shared" si="14"/>
        <v>7124</v>
      </c>
      <c r="I113" s="230">
        <f t="shared" si="14"/>
        <v>6207</v>
      </c>
      <c r="J113" s="230">
        <f t="shared" si="14"/>
        <v>0</v>
      </c>
      <c r="K113" s="230">
        <f t="shared" si="14"/>
        <v>8420</v>
      </c>
      <c r="L113" s="230">
        <f t="shared" si="14"/>
        <v>0</v>
      </c>
      <c r="M113" s="230">
        <f t="shared" si="14"/>
        <v>0</v>
      </c>
      <c r="N113" s="230">
        <f t="shared" si="14"/>
        <v>0</v>
      </c>
      <c r="O113" s="249">
        <f t="shared" si="14"/>
        <v>0</v>
      </c>
    </row>
    <row r="114" spans="1:15" ht="12.75" customHeight="1">
      <c r="A114" s="677"/>
      <c r="B114" s="678"/>
      <c r="C114" s="678"/>
      <c r="D114" s="647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49"/>
    </row>
    <row r="115" spans="1:15" ht="12.75" customHeight="1">
      <c r="A115" s="1410" t="s">
        <v>141</v>
      </c>
      <c r="B115" s="1371"/>
      <c r="C115" s="1371"/>
      <c r="D115" s="647" t="s">
        <v>873</v>
      </c>
      <c r="E115" s="230">
        <f>SUM(E65)</f>
        <v>0</v>
      </c>
      <c r="F115" s="230">
        <f>SUM(F65)</f>
        <v>0</v>
      </c>
      <c r="G115" s="230">
        <f aca="true" t="shared" si="15" ref="G115:O115">SUM(G65)</f>
        <v>0</v>
      </c>
      <c r="H115" s="230">
        <f t="shared" si="15"/>
        <v>0</v>
      </c>
      <c r="I115" s="230">
        <f t="shared" si="15"/>
        <v>0</v>
      </c>
      <c r="J115" s="230">
        <f t="shared" si="15"/>
        <v>0</v>
      </c>
      <c r="K115" s="230">
        <f t="shared" si="15"/>
        <v>0</v>
      </c>
      <c r="L115" s="230">
        <f t="shared" si="15"/>
        <v>0</v>
      </c>
      <c r="M115" s="230">
        <f t="shared" si="15"/>
        <v>0</v>
      </c>
      <c r="N115" s="230">
        <f t="shared" si="15"/>
        <v>0</v>
      </c>
      <c r="O115" s="249">
        <f t="shared" si="15"/>
        <v>0</v>
      </c>
    </row>
    <row r="116" spans="1:15" ht="12.75" customHeight="1">
      <c r="A116" s="617"/>
      <c r="B116" s="613"/>
      <c r="C116" s="613"/>
      <c r="D116" s="647" t="s">
        <v>33</v>
      </c>
      <c r="E116" s="230">
        <f aca="true" t="shared" si="16" ref="E116:O117">SUM(E120+E124+E128)</f>
        <v>572313</v>
      </c>
      <c r="F116" s="230">
        <f t="shared" si="16"/>
        <v>572313</v>
      </c>
      <c r="G116" s="230">
        <f t="shared" si="16"/>
        <v>265411</v>
      </c>
      <c r="H116" s="230">
        <f t="shared" si="16"/>
        <v>66303</v>
      </c>
      <c r="I116" s="230">
        <f t="shared" si="16"/>
        <v>120759</v>
      </c>
      <c r="J116" s="230">
        <f t="shared" si="16"/>
        <v>7769</v>
      </c>
      <c r="K116" s="230">
        <f t="shared" si="16"/>
        <v>104361</v>
      </c>
      <c r="L116" s="230">
        <f t="shared" si="16"/>
        <v>0</v>
      </c>
      <c r="M116" s="230">
        <f t="shared" si="16"/>
        <v>6510</v>
      </c>
      <c r="N116" s="230">
        <f t="shared" si="16"/>
        <v>1200</v>
      </c>
      <c r="O116" s="249">
        <f t="shared" si="16"/>
        <v>0</v>
      </c>
    </row>
    <row r="117" spans="1:15" ht="12.75" customHeight="1">
      <c r="A117" s="617"/>
      <c r="B117" s="613"/>
      <c r="C117" s="613"/>
      <c r="D117" s="647" t="s">
        <v>321</v>
      </c>
      <c r="E117" s="230">
        <f t="shared" si="16"/>
        <v>538065</v>
      </c>
      <c r="F117" s="230">
        <f t="shared" si="16"/>
        <v>525733</v>
      </c>
      <c r="G117" s="230"/>
      <c r="H117" s="230"/>
      <c r="I117" s="230"/>
      <c r="J117" s="230"/>
      <c r="K117" s="230"/>
      <c r="L117" s="230"/>
      <c r="M117" s="230"/>
      <c r="N117" s="230"/>
      <c r="O117" s="249"/>
    </row>
    <row r="118" spans="1:15" ht="12.75" customHeight="1">
      <c r="A118" s="617"/>
      <c r="B118" s="613"/>
      <c r="C118" s="613"/>
      <c r="D118" s="647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49"/>
    </row>
    <row r="119" spans="1:15" ht="12.75" customHeight="1">
      <c r="A119" s="1410" t="s">
        <v>603</v>
      </c>
      <c r="B119" s="1371"/>
      <c r="C119" s="1371"/>
      <c r="D119" s="647" t="s">
        <v>874</v>
      </c>
      <c r="E119" s="230">
        <f aca="true" t="shared" si="17" ref="E119:O119">SUM(E8+E38+E44+E47+E50+E53+E56)</f>
        <v>0</v>
      </c>
      <c r="F119" s="230">
        <f t="shared" si="17"/>
        <v>0</v>
      </c>
      <c r="G119" s="230">
        <f t="shared" si="17"/>
        <v>0</v>
      </c>
      <c r="H119" s="230">
        <f t="shared" si="17"/>
        <v>0</v>
      </c>
      <c r="I119" s="230">
        <f t="shared" si="17"/>
        <v>0</v>
      </c>
      <c r="J119" s="230">
        <f t="shared" si="17"/>
        <v>0</v>
      </c>
      <c r="K119" s="230">
        <f t="shared" si="17"/>
        <v>0</v>
      </c>
      <c r="L119" s="230">
        <f t="shared" si="17"/>
        <v>0</v>
      </c>
      <c r="M119" s="230">
        <f t="shared" si="17"/>
        <v>0</v>
      </c>
      <c r="N119" s="230">
        <f t="shared" si="17"/>
        <v>0</v>
      </c>
      <c r="O119" s="249">
        <f t="shared" si="17"/>
        <v>0</v>
      </c>
    </row>
    <row r="120" spans="1:15" ht="12.75" customHeight="1">
      <c r="A120" s="677"/>
      <c r="B120" s="678"/>
      <c r="C120" s="678"/>
      <c r="D120" s="647" t="s">
        <v>33</v>
      </c>
      <c r="E120" s="230">
        <f>SUM(E9+E39+E45+E48+E51+E54+E57+E75+E77+E79+E81+E89+E91+E93+E95+E102+E104+E106)</f>
        <v>20335</v>
      </c>
      <c r="F120" s="230">
        <f>SUM(F9+F39+F45+F48+F51+F54+F57+F75+F77+F79+F81+F89+F91+F93+F95+F102+F104+F106)</f>
        <v>98415</v>
      </c>
      <c r="G120" s="230">
        <f aca="true" t="shared" si="18" ref="G120:O120">SUM(G9+G39+G45+G48+G51+G54+G57+G75+G77+G79+G81+G89+G91+G93+G95+G102+G104+G106)</f>
        <v>0</v>
      </c>
      <c r="H120" s="230">
        <f t="shared" si="18"/>
        <v>0</v>
      </c>
      <c r="I120" s="230">
        <f t="shared" si="18"/>
        <v>0</v>
      </c>
      <c r="J120" s="230">
        <f t="shared" si="18"/>
        <v>0</v>
      </c>
      <c r="K120" s="230">
        <f t="shared" si="18"/>
        <v>98415</v>
      </c>
      <c r="L120" s="230">
        <f t="shared" si="18"/>
        <v>0</v>
      </c>
      <c r="M120" s="230">
        <f t="shared" si="18"/>
        <v>0</v>
      </c>
      <c r="N120" s="230">
        <f t="shared" si="18"/>
        <v>0</v>
      </c>
      <c r="O120" s="249">
        <f t="shared" si="18"/>
        <v>0</v>
      </c>
    </row>
    <row r="121" spans="1:15" ht="12.75" customHeight="1">
      <c r="A121" s="677"/>
      <c r="B121" s="678"/>
      <c r="C121" s="678"/>
      <c r="D121" s="647" t="s">
        <v>321</v>
      </c>
      <c r="E121" s="230">
        <f>SUM(E10+E40+E46+E49+E52+E55+E58+E76+E78+E80+E82+E90+E92+E94+E96+E103+E105+E107)</f>
        <v>10878</v>
      </c>
      <c r="F121" s="230">
        <f aca="true" t="shared" si="19" ref="F121:O121">SUM(F10+F40+F46+F49+F52+F55+F58+F76+F78+F80+F82+F90+F92+F94+F96+F103+F105+F107)</f>
        <v>95973</v>
      </c>
      <c r="G121" s="230">
        <f t="shared" si="19"/>
        <v>0</v>
      </c>
      <c r="H121" s="230">
        <f t="shared" si="19"/>
        <v>0</v>
      </c>
      <c r="I121" s="230">
        <f t="shared" si="19"/>
        <v>0</v>
      </c>
      <c r="J121" s="230">
        <f t="shared" si="19"/>
        <v>0</v>
      </c>
      <c r="K121" s="230">
        <f t="shared" si="19"/>
        <v>95973</v>
      </c>
      <c r="L121" s="230">
        <f t="shared" si="19"/>
        <v>0</v>
      </c>
      <c r="M121" s="230">
        <f t="shared" si="19"/>
        <v>0</v>
      </c>
      <c r="N121" s="230">
        <f t="shared" si="19"/>
        <v>0</v>
      </c>
      <c r="O121" s="249">
        <f t="shared" si="19"/>
        <v>0</v>
      </c>
    </row>
    <row r="122" spans="1:15" ht="12.75" customHeight="1">
      <c r="A122" s="677"/>
      <c r="B122" s="678"/>
      <c r="C122" s="678"/>
      <c r="D122" s="647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49"/>
    </row>
    <row r="123" spans="1:15" ht="12.75" customHeight="1">
      <c r="A123" s="1410" t="s">
        <v>589</v>
      </c>
      <c r="B123" s="1371"/>
      <c r="C123" s="1371"/>
      <c r="D123" s="647" t="s">
        <v>874</v>
      </c>
      <c r="E123" s="230">
        <f aca="true" t="shared" si="20" ref="E123:O123">SUM(E11+E32+E35+E41)</f>
        <v>0</v>
      </c>
      <c r="F123" s="230">
        <f t="shared" si="20"/>
        <v>0</v>
      </c>
      <c r="G123" s="230">
        <f t="shared" si="20"/>
        <v>0</v>
      </c>
      <c r="H123" s="230">
        <f t="shared" si="20"/>
        <v>0</v>
      </c>
      <c r="I123" s="230">
        <f t="shared" si="20"/>
        <v>0</v>
      </c>
      <c r="J123" s="230">
        <f t="shared" si="20"/>
        <v>0</v>
      </c>
      <c r="K123" s="230">
        <f t="shared" si="20"/>
        <v>0</v>
      </c>
      <c r="L123" s="230">
        <f t="shared" si="20"/>
        <v>0</v>
      </c>
      <c r="M123" s="230">
        <f t="shared" si="20"/>
        <v>0</v>
      </c>
      <c r="N123" s="230">
        <f t="shared" si="20"/>
        <v>0</v>
      </c>
      <c r="O123" s="249">
        <f t="shared" si="20"/>
        <v>0</v>
      </c>
    </row>
    <row r="124" spans="1:15" ht="12.75" customHeight="1">
      <c r="A124" s="677"/>
      <c r="B124" s="678"/>
      <c r="C124" s="678"/>
      <c r="D124" s="647" t="s">
        <v>33</v>
      </c>
      <c r="E124" s="230">
        <f>SUM(E12+E33+E36+E42)</f>
        <v>3916</v>
      </c>
      <c r="F124" s="230">
        <f>SUM(F12+F33+F36+F42)</f>
        <v>5547</v>
      </c>
      <c r="G124" s="230">
        <f aca="true" t="shared" si="21" ref="G124:O124">SUM(G12+G33+G36+G42)</f>
        <v>0</v>
      </c>
      <c r="H124" s="230">
        <f t="shared" si="21"/>
        <v>87</v>
      </c>
      <c r="I124" s="230">
        <f t="shared" si="21"/>
        <v>4224</v>
      </c>
      <c r="J124" s="230">
        <f t="shared" si="21"/>
        <v>0</v>
      </c>
      <c r="K124" s="230">
        <f t="shared" si="21"/>
        <v>36</v>
      </c>
      <c r="L124" s="230">
        <f t="shared" si="21"/>
        <v>0</v>
      </c>
      <c r="M124" s="230">
        <f t="shared" si="21"/>
        <v>0</v>
      </c>
      <c r="N124" s="230">
        <f t="shared" si="21"/>
        <v>1200</v>
      </c>
      <c r="O124" s="249">
        <f t="shared" si="21"/>
        <v>0</v>
      </c>
    </row>
    <row r="125" spans="1:15" ht="12.75" customHeight="1">
      <c r="A125" s="677"/>
      <c r="B125" s="678"/>
      <c r="C125" s="678"/>
      <c r="D125" s="647" t="s">
        <v>321</v>
      </c>
      <c r="E125" s="230">
        <f>SUM(E13+E34+E37+E43)</f>
        <v>5423</v>
      </c>
      <c r="F125" s="230">
        <f>SUM(F13+F34+F37+F43)</f>
        <v>3392</v>
      </c>
      <c r="G125" s="230">
        <f aca="true" t="shared" si="22" ref="G125:O125">SUM(G13+G34+G37+G43)</f>
        <v>0</v>
      </c>
      <c r="H125" s="230">
        <f t="shared" si="22"/>
        <v>0</v>
      </c>
      <c r="I125" s="230">
        <f t="shared" si="22"/>
        <v>2892</v>
      </c>
      <c r="J125" s="230">
        <f t="shared" si="22"/>
        <v>0</v>
      </c>
      <c r="K125" s="230">
        <f t="shared" si="22"/>
        <v>0</v>
      </c>
      <c r="L125" s="230">
        <f t="shared" si="22"/>
        <v>0</v>
      </c>
      <c r="M125" s="230">
        <f t="shared" si="22"/>
        <v>0</v>
      </c>
      <c r="N125" s="230">
        <f t="shared" si="22"/>
        <v>500</v>
      </c>
      <c r="O125" s="249">
        <f t="shared" si="22"/>
        <v>0</v>
      </c>
    </row>
    <row r="126" spans="1:15" ht="12.75" customHeight="1">
      <c r="A126" s="677"/>
      <c r="B126" s="678"/>
      <c r="C126" s="678"/>
      <c r="D126" s="647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49"/>
    </row>
    <row r="127" spans="1:15" ht="12.75" customHeight="1">
      <c r="A127" s="1410" t="s">
        <v>590</v>
      </c>
      <c r="B127" s="1371"/>
      <c r="C127" s="1371"/>
      <c r="D127" s="647" t="s">
        <v>874</v>
      </c>
      <c r="E127" s="230">
        <f aca="true" t="shared" si="23" ref="E127:O127">SUM(E14+E17+E20+E23+E26+E29+E59+E62)</f>
        <v>0</v>
      </c>
      <c r="F127" s="230">
        <f t="shared" si="23"/>
        <v>0</v>
      </c>
      <c r="G127" s="230">
        <f t="shared" si="23"/>
        <v>0</v>
      </c>
      <c r="H127" s="230">
        <f t="shared" si="23"/>
        <v>0</v>
      </c>
      <c r="I127" s="230">
        <f t="shared" si="23"/>
        <v>0</v>
      </c>
      <c r="J127" s="230">
        <f t="shared" si="23"/>
        <v>0</v>
      </c>
      <c r="K127" s="230">
        <f t="shared" si="23"/>
        <v>0</v>
      </c>
      <c r="L127" s="230">
        <f t="shared" si="23"/>
        <v>0</v>
      </c>
      <c r="M127" s="230">
        <f t="shared" si="23"/>
        <v>0</v>
      </c>
      <c r="N127" s="230">
        <f t="shared" si="23"/>
        <v>0</v>
      </c>
      <c r="O127" s="249">
        <f t="shared" si="23"/>
        <v>0</v>
      </c>
    </row>
    <row r="128" spans="1:15" ht="12.75">
      <c r="A128" s="1408"/>
      <c r="B128" s="1409"/>
      <c r="C128" s="1409"/>
      <c r="D128" s="647" t="s">
        <v>33</v>
      </c>
      <c r="E128" s="230">
        <f>SUM(E15+E18+E21+E24+E27+E30+E60+E63+E73+E87+E100)</f>
        <v>548062</v>
      </c>
      <c r="F128" s="230">
        <f>SUM(F15+F18+F21+F24+F27+F30+F60+F63+F73+F87+F100)</f>
        <v>468351</v>
      </c>
      <c r="G128" s="230">
        <f aca="true" t="shared" si="24" ref="G128:O128">SUM(G15+G18+G21+G24+G27+G30+G60+G63+G73+G87+G100)</f>
        <v>265411</v>
      </c>
      <c r="H128" s="230">
        <f t="shared" si="24"/>
        <v>66216</v>
      </c>
      <c r="I128" s="230">
        <f t="shared" si="24"/>
        <v>116535</v>
      </c>
      <c r="J128" s="230">
        <f t="shared" si="24"/>
        <v>7769</v>
      </c>
      <c r="K128" s="230">
        <f t="shared" si="24"/>
        <v>5910</v>
      </c>
      <c r="L128" s="230">
        <f t="shared" si="24"/>
        <v>0</v>
      </c>
      <c r="M128" s="230">
        <f t="shared" si="24"/>
        <v>6510</v>
      </c>
      <c r="N128" s="230">
        <f t="shared" si="24"/>
        <v>0</v>
      </c>
      <c r="O128" s="249">
        <f t="shared" si="24"/>
        <v>0</v>
      </c>
    </row>
    <row r="129" spans="1:15" ht="13.5" thickBot="1">
      <c r="A129" s="238"/>
      <c r="B129" s="374"/>
      <c r="C129" s="425"/>
      <c r="D129" s="651" t="s">
        <v>321</v>
      </c>
      <c r="E129" s="410">
        <f>SUM(E16+E19+E22+E25+E28+E31+E61+E64+E74+E88+E101)</f>
        <v>521764</v>
      </c>
      <c r="F129" s="410">
        <f aca="true" t="shared" si="25" ref="F129:O129">SUM(F16+F19+F22+F25+F28+F31+F61+F64+F74+F88+F101)</f>
        <v>426368</v>
      </c>
      <c r="G129" s="410">
        <f t="shared" si="25"/>
        <v>246786</v>
      </c>
      <c r="H129" s="410">
        <f t="shared" si="25"/>
        <v>63957</v>
      </c>
      <c r="I129" s="410">
        <f t="shared" si="25"/>
        <v>96286</v>
      </c>
      <c r="J129" s="410">
        <f t="shared" si="25"/>
        <v>7497</v>
      </c>
      <c r="K129" s="410">
        <f t="shared" si="25"/>
        <v>5331</v>
      </c>
      <c r="L129" s="410">
        <f t="shared" si="25"/>
        <v>0</v>
      </c>
      <c r="M129" s="410">
        <f t="shared" si="25"/>
        <v>6511</v>
      </c>
      <c r="N129" s="410">
        <f t="shared" si="25"/>
        <v>0</v>
      </c>
      <c r="O129" s="470">
        <f t="shared" si="25"/>
        <v>0</v>
      </c>
    </row>
    <row r="130" spans="7:15" ht="12.75">
      <c r="G130" s="210"/>
      <c r="H130" s="210"/>
      <c r="I130" s="210"/>
      <c r="J130" s="210"/>
      <c r="K130" s="210"/>
      <c r="L130" s="210"/>
      <c r="M130" s="210"/>
      <c r="N130" s="213"/>
      <c r="O130" s="210"/>
    </row>
    <row r="131" spans="7:15" ht="12.75">
      <c r="G131" s="210"/>
      <c r="H131" s="210"/>
      <c r="I131" s="210"/>
      <c r="J131" s="210"/>
      <c r="K131" s="210"/>
      <c r="L131" s="210"/>
      <c r="M131" s="210"/>
      <c r="N131" s="213"/>
      <c r="O131" s="210"/>
    </row>
    <row r="132" spans="7:15" ht="12.75">
      <c r="G132" s="210"/>
      <c r="H132" s="210"/>
      <c r="I132" s="210"/>
      <c r="J132" s="210"/>
      <c r="K132" s="210"/>
      <c r="L132" s="210"/>
      <c r="M132" s="210"/>
      <c r="N132" s="213"/>
      <c r="O132" s="210"/>
    </row>
    <row r="133" spans="7:15" ht="12.75">
      <c r="G133" s="210"/>
      <c r="H133" s="210"/>
      <c r="I133" s="210"/>
      <c r="J133" s="210"/>
      <c r="K133" s="210"/>
      <c r="L133" s="210"/>
      <c r="M133" s="210"/>
      <c r="N133" s="213"/>
      <c r="O133" s="210"/>
    </row>
    <row r="134" spans="7:15" ht="12.75">
      <c r="G134" s="210"/>
      <c r="H134" s="210"/>
      <c r="I134" s="210"/>
      <c r="J134" s="210"/>
      <c r="K134" s="210"/>
      <c r="L134" s="210"/>
      <c r="M134" s="210"/>
      <c r="N134" s="213"/>
      <c r="O134" s="210"/>
    </row>
    <row r="135" spans="7:15" ht="12.75">
      <c r="G135" s="210"/>
      <c r="H135" s="210"/>
      <c r="I135" s="210"/>
      <c r="J135" s="210"/>
      <c r="K135" s="210"/>
      <c r="L135" s="210"/>
      <c r="M135" s="210"/>
      <c r="N135" s="213"/>
      <c r="O135" s="210"/>
    </row>
    <row r="136" spans="7:15" ht="12.75">
      <c r="G136" s="210"/>
      <c r="H136" s="210"/>
      <c r="I136" s="210"/>
      <c r="J136" s="210"/>
      <c r="K136" s="210"/>
      <c r="L136" s="210"/>
      <c r="M136" s="210"/>
      <c r="N136" s="213"/>
      <c r="O136" s="210"/>
    </row>
    <row r="137" spans="7:15" ht="12.75">
      <c r="G137" s="210"/>
      <c r="H137" s="210"/>
      <c r="I137" s="210"/>
      <c r="J137" s="210"/>
      <c r="K137" s="210"/>
      <c r="L137" s="210"/>
      <c r="M137" s="210"/>
      <c r="N137" s="213"/>
      <c r="O137" s="210"/>
    </row>
    <row r="138" spans="7:15" ht="12.75">
      <c r="G138" s="210"/>
      <c r="H138" s="210"/>
      <c r="I138" s="210"/>
      <c r="J138" s="210"/>
      <c r="K138" s="210"/>
      <c r="L138" s="210"/>
      <c r="M138" s="210"/>
      <c r="N138" s="213"/>
      <c r="O138" s="210"/>
    </row>
    <row r="139" spans="7:15" ht="12.75">
      <c r="G139" s="210"/>
      <c r="H139" s="210"/>
      <c r="I139" s="210"/>
      <c r="J139" s="210"/>
      <c r="K139" s="210"/>
      <c r="L139" s="210"/>
      <c r="M139" s="210"/>
      <c r="N139" s="213"/>
      <c r="O139" s="210"/>
    </row>
    <row r="140" spans="7:15" ht="12.75">
      <c r="G140" s="210"/>
      <c r="H140" s="210"/>
      <c r="I140" s="210"/>
      <c r="J140" s="210"/>
      <c r="K140" s="210"/>
      <c r="L140" s="210"/>
      <c r="M140" s="210"/>
      <c r="N140" s="213"/>
      <c r="O140" s="210"/>
    </row>
  </sheetData>
  <sheetProtection/>
  <mergeCells count="47">
    <mergeCell ref="O69:O71"/>
    <mergeCell ref="G70:G71"/>
    <mergeCell ref="H70:H71"/>
    <mergeCell ref="I70:I71"/>
    <mergeCell ref="J70:J71"/>
    <mergeCell ref="L69:M69"/>
    <mergeCell ref="N4:N6"/>
    <mergeCell ref="A85:C85"/>
    <mergeCell ref="A86:C86"/>
    <mergeCell ref="N69:N71"/>
    <mergeCell ref="E69:E71"/>
    <mergeCell ref="F69:F71"/>
    <mergeCell ref="O4:O6"/>
    <mergeCell ref="G5:G6"/>
    <mergeCell ref="H5:H6"/>
    <mergeCell ref="I5:I6"/>
    <mergeCell ref="J5:J6"/>
    <mergeCell ref="A98:C98"/>
    <mergeCell ref="K70:K71"/>
    <mergeCell ref="L70:L71"/>
    <mergeCell ref="M70:M71"/>
    <mergeCell ref="G69:K69"/>
    <mergeCell ref="A99:C99"/>
    <mergeCell ref="A111:C111"/>
    <mergeCell ref="A7:D7"/>
    <mergeCell ref="A65:C65"/>
    <mergeCell ref="A69:A71"/>
    <mergeCell ref="B69:D71"/>
    <mergeCell ref="A97:C97"/>
    <mergeCell ref="A72:C72"/>
    <mergeCell ref="A83:C83"/>
    <mergeCell ref="A2:O2"/>
    <mergeCell ref="A4:A6"/>
    <mergeCell ref="B4:D6"/>
    <mergeCell ref="E4:E6"/>
    <mergeCell ref="F4:F6"/>
    <mergeCell ref="G4:K4"/>
    <mergeCell ref="L4:M4"/>
    <mergeCell ref="K5:K6"/>
    <mergeCell ref="L5:L6"/>
    <mergeCell ref="M5:M6"/>
    <mergeCell ref="A128:C128"/>
    <mergeCell ref="A108:C108"/>
    <mergeCell ref="A115:C115"/>
    <mergeCell ref="A119:C119"/>
    <mergeCell ref="A123:C123"/>
    <mergeCell ref="A127:C127"/>
  </mergeCells>
  <printOptions horizontalCentered="1"/>
  <pageMargins left="0.3937007874015748" right="0.3937007874015748" top="0.38" bottom="0.4724409448818898" header="0.22" footer="0.4724409448818898"/>
  <pageSetup horizontalDpi="600" verticalDpi="600" orientation="landscape" paperSize="9" scale="60" r:id="rId1"/>
  <headerFooter alignWithMargins="0">
    <oddHeader>&amp;L&amp;8 5. melléklet a 8/2014.(V.5.) önkormányzati rendelethez</oddHeader>
  </headerFooter>
  <rowBreaks count="1" manualBreakCount="1">
    <brk id="6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J248"/>
  <sheetViews>
    <sheetView view="pageLayout" zoomScaleNormal="85" workbookViewId="0" topLeftCell="T163">
      <selection activeCell="U238" sqref="U238"/>
    </sheetView>
  </sheetViews>
  <sheetFormatPr defaultColWidth="9.00390625" defaultRowHeight="12.75"/>
  <cols>
    <col min="1" max="1" width="24.375" style="483" customWidth="1"/>
    <col min="2" max="3" width="13.125" style="483" customWidth="1"/>
    <col min="4" max="6" width="9.125" style="483" customWidth="1"/>
    <col min="7" max="7" width="7.125" style="483" hidden="1" customWidth="1"/>
    <col min="8" max="8" width="10.25390625" style="483" customWidth="1"/>
    <col min="9" max="9" width="9.75390625" style="483" customWidth="1"/>
    <col min="10" max="10" width="7.625" style="483" customWidth="1"/>
    <col min="11" max="11" width="8.875" style="483" customWidth="1"/>
    <col min="12" max="12" width="7.75390625" style="483" customWidth="1"/>
    <col min="13" max="13" width="8.375" style="483" customWidth="1"/>
    <col min="14" max="14" width="8.125" style="483" customWidth="1"/>
    <col min="15" max="16" width="9.125" style="483" customWidth="1"/>
    <col min="17" max="17" width="9.625" style="483" customWidth="1"/>
    <col min="18" max="18" width="9.75390625" style="483" customWidth="1"/>
    <col min="19" max="19" width="10.75390625" style="483" customWidth="1"/>
    <col min="20" max="20" width="29.00390625" style="483" customWidth="1"/>
    <col min="21" max="21" width="18.75390625" style="483" customWidth="1"/>
    <col min="22" max="22" width="13.25390625" style="483" customWidth="1"/>
    <col min="23" max="23" width="10.125" style="483" customWidth="1"/>
    <col min="24" max="24" width="10.00390625" style="483" bestFit="1" customWidth="1"/>
    <col min="25" max="25" width="9.125" style="483" customWidth="1"/>
    <col min="26" max="26" width="13.125" style="483" customWidth="1"/>
    <col min="27" max="27" width="8.25390625" style="483" hidden="1" customWidth="1"/>
    <col min="28" max="28" width="11.25390625" style="483" customWidth="1"/>
    <col min="29" max="32" width="9.125" style="483" customWidth="1"/>
    <col min="33" max="33" width="0" style="483" hidden="1" customWidth="1"/>
    <col min="34" max="34" width="14.375" style="483" customWidth="1"/>
    <col min="35" max="36" width="9.125" style="483" hidden="1" customWidth="1"/>
    <col min="37" max="16384" width="9.125" style="483" customWidth="1"/>
  </cols>
  <sheetData>
    <row r="2" spans="1:34" ht="21" customHeight="1">
      <c r="A2" s="1428" t="s">
        <v>283</v>
      </c>
      <c r="B2" s="1428"/>
      <c r="C2" s="1428"/>
      <c r="D2" s="1428"/>
      <c r="E2" s="1428"/>
      <c r="F2" s="1428"/>
      <c r="G2" s="1428"/>
      <c r="H2" s="1428"/>
      <c r="I2" s="1428"/>
      <c r="J2" s="1428"/>
      <c r="K2" s="1428"/>
      <c r="L2" s="1428"/>
      <c r="M2" s="1428"/>
      <c r="N2" s="1428"/>
      <c r="O2" s="1428"/>
      <c r="P2" s="1428"/>
      <c r="Q2" s="1428"/>
      <c r="R2" s="1428"/>
      <c r="S2" s="1274"/>
      <c r="T2" s="1428" t="s">
        <v>287</v>
      </c>
      <c r="U2" s="1428"/>
      <c r="V2" s="1428"/>
      <c r="W2" s="1428"/>
      <c r="X2" s="1428"/>
      <c r="Y2" s="1428"/>
      <c r="Z2" s="1428"/>
      <c r="AA2" s="1428"/>
      <c r="AB2" s="1428"/>
      <c r="AC2" s="1428"/>
      <c r="AD2" s="1428"/>
      <c r="AE2" s="1428"/>
      <c r="AF2" s="1428"/>
      <c r="AG2" s="1428"/>
      <c r="AH2" s="1428"/>
    </row>
    <row r="3" spans="1:34" ht="15" customHeight="1" thickBot="1">
      <c r="A3" s="1274"/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  <c r="Q3" s="1274"/>
      <c r="R3" s="1274"/>
      <c r="S3" s="1274"/>
      <c r="T3" s="1274"/>
      <c r="U3" s="1274"/>
      <c r="V3" s="1274"/>
      <c r="W3" s="1274"/>
      <c r="X3" s="1274"/>
      <c r="Y3" s="1274"/>
      <c r="Z3" s="1274"/>
      <c r="AA3" s="1274"/>
      <c r="AB3" s="1274"/>
      <c r="AC3" s="1274"/>
      <c r="AD3" s="1274"/>
      <c r="AE3" s="1274"/>
      <c r="AF3" s="1274"/>
      <c r="AG3" s="1274"/>
      <c r="AH3" s="1274"/>
    </row>
    <row r="4" spans="1:34" ht="12.75">
      <c r="A4" s="1424" t="s">
        <v>288</v>
      </c>
      <c r="B4" s="1418" t="s">
        <v>289</v>
      </c>
      <c r="C4" s="1418"/>
      <c r="D4" s="1418" t="s">
        <v>290</v>
      </c>
      <c r="E4" s="1418" t="s">
        <v>291</v>
      </c>
      <c r="F4" s="1418" t="s">
        <v>170</v>
      </c>
      <c r="G4" s="1418" t="s">
        <v>171</v>
      </c>
      <c r="H4" s="1418" t="s">
        <v>172</v>
      </c>
      <c r="I4" s="1418"/>
      <c r="J4" s="1418" t="s">
        <v>173</v>
      </c>
      <c r="K4" s="1418"/>
      <c r="L4" s="1420"/>
      <c r="M4" s="1418" t="s">
        <v>292</v>
      </c>
      <c r="N4" s="1418" t="s">
        <v>175</v>
      </c>
      <c r="O4" s="1418"/>
      <c r="P4" s="752"/>
      <c r="Q4" s="1418" t="s">
        <v>293</v>
      </c>
      <c r="R4" s="1418" t="s">
        <v>176</v>
      </c>
      <c r="S4" s="1422" t="s">
        <v>198</v>
      </c>
      <c r="T4" s="1424" t="s">
        <v>288</v>
      </c>
      <c r="U4" s="1421" t="s">
        <v>177</v>
      </c>
      <c r="V4" s="1421"/>
      <c r="W4" s="1421"/>
      <c r="X4" s="1421"/>
      <c r="Y4" s="1421"/>
      <c r="Z4" s="1421"/>
      <c r="AA4" s="1421"/>
      <c r="AB4" s="1421"/>
      <c r="AC4" s="753"/>
      <c r="AD4" s="753"/>
      <c r="AE4" s="1421" t="s">
        <v>178</v>
      </c>
      <c r="AF4" s="1421"/>
      <c r="AG4" s="753"/>
      <c r="AH4" s="1422" t="s">
        <v>179</v>
      </c>
    </row>
    <row r="5" spans="1:36" ht="52.5">
      <c r="A5" s="1425"/>
      <c r="B5" s="1419"/>
      <c r="C5" s="1419"/>
      <c r="D5" s="1419"/>
      <c r="E5" s="1419"/>
      <c r="F5" s="1419"/>
      <c r="G5" s="1419"/>
      <c r="H5" s="754" t="s">
        <v>180</v>
      </c>
      <c r="I5" s="754" t="s">
        <v>181</v>
      </c>
      <c r="J5" s="754" t="s">
        <v>180</v>
      </c>
      <c r="K5" s="754" t="s">
        <v>181</v>
      </c>
      <c r="L5" s="754" t="s">
        <v>294</v>
      </c>
      <c r="M5" s="1419"/>
      <c r="N5" s="754" t="s">
        <v>182</v>
      </c>
      <c r="O5" s="754" t="s">
        <v>183</v>
      </c>
      <c r="P5" s="754" t="s">
        <v>728</v>
      </c>
      <c r="Q5" s="1419"/>
      <c r="R5" s="1419"/>
      <c r="S5" s="1423"/>
      <c r="T5" s="1425"/>
      <c r="U5" s="1426" t="s">
        <v>289</v>
      </c>
      <c r="V5" s="1427"/>
      <c r="W5" s="754" t="s">
        <v>119</v>
      </c>
      <c r="X5" s="754" t="s">
        <v>184</v>
      </c>
      <c r="Y5" s="754" t="s">
        <v>295</v>
      </c>
      <c r="Z5" s="754" t="s">
        <v>296</v>
      </c>
      <c r="AA5" s="754" t="s">
        <v>297</v>
      </c>
      <c r="AB5" s="754" t="s">
        <v>775</v>
      </c>
      <c r="AC5" s="754" t="s">
        <v>298</v>
      </c>
      <c r="AD5" s="754" t="s">
        <v>729</v>
      </c>
      <c r="AE5" s="754" t="s">
        <v>299</v>
      </c>
      <c r="AF5" s="754" t="s">
        <v>300</v>
      </c>
      <c r="AG5" s="754" t="s">
        <v>301</v>
      </c>
      <c r="AH5" s="1423"/>
      <c r="AJ5" s="755" t="s">
        <v>302</v>
      </c>
    </row>
    <row r="6" spans="1:36" ht="12.75">
      <c r="A6" s="1417" t="s">
        <v>185</v>
      </c>
      <c r="B6" s="756" t="s">
        <v>303</v>
      </c>
      <c r="C6" s="757" t="s">
        <v>873</v>
      </c>
      <c r="D6" s="471">
        <v>8319</v>
      </c>
      <c r="E6" s="471">
        <v>5824</v>
      </c>
      <c r="F6" s="471">
        <v>2246</v>
      </c>
      <c r="G6" s="471">
        <v>0</v>
      </c>
      <c r="H6" s="471">
        <v>0</v>
      </c>
      <c r="I6" s="471">
        <v>0</v>
      </c>
      <c r="J6" s="471">
        <v>0</v>
      </c>
      <c r="K6" s="471">
        <v>0</v>
      </c>
      <c r="L6" s="471">
        <v>0</v>
      </c>
      <c r="M6" s="471">
        <v>0</v>
      </c>
      <c r="N6" s="471">
        <v>0</v>
      </c>
      <c r="O6" s="471">
        <v>0</v>
      </c>
      <c r="P6" s="471">
        <v>0</v>
      </c>
      <c r="Q6" s="471">
        <f aca="true" t="shared" si="0" ref="Q6:Q98">AH6-R6</f>
        <v>54555</v>
      </c>
      <c r="R6" s="471">
        <f aca="true" t="shared" si="1" ref="R6:R98">SUM(D6:O6)-E6</f>
        <v>10565</v>
      </c>
      <c r="S6" s="473">
        <f aca="true" t="shared" si="2" ref="S6:S66">Q6+R6</f>
        <v>65120</v>
      </c>
      <c r="T6" s="1417" t="s">
        <v>185</v>
      </c>
      <c r="U6" s="756" t="s">
        <v>303</v>
      </c>
      <c r="V6" s="757" t="s">
        <v>873</v>
      </c>
      <c r="W6" s="471">
        <v>38239</v>
      </c>
      <c r="X6" s="471">
        <v>10181</v>
      </c>
      <c r="Y6" s="471">
        <v>16700</v>
      </c>
      <c r="Z6" s="471">
        <v>7068</v>
      </c>
      <c r="AA6" s="471"/>
      <c r="AB6" s="471">
        <v>0</v>
      </c>
      <c r="AC6" s="471">
        <v>0</v>
      </c>
      <c r="AD6" s="471">
        <v>0</v>
      </c>
      <c r="AE6" s="471">
        <v>0</v>
      </c>
      <c r="AF6" s="471">
        <v>0</v>
      </c>
      <c r="AG6" s="471"/>
      <c r="AH6" s="473">
        <f aca="true" t="shared" si="3" ref="AH6:AH98">SUM(W6:AF6)-Z6</f>
        <v>65120</v>
      </c>
      <c r="AJ6" s="484">
        <v>65120</v>
      </c>
    </row>
    <row r="7" spans="1:36" ht="12.75">
      <c r="A7" s="1417"/>
      <c r="B7" s="756" t="s">
        <v>303</v>
      </c>
      <c r="C7" s="757" t="s">
        <v>873</v>
      </c>
      <c r="D7" s="471">
        <v>0</v>
      </c>
      <c r="E7" s="471">
        <v>0</v>
      </c>
      <c r="F7" s="471">
        <v>0</v>
      </c>
      <c r="G7" s="471">
        <v>0</v>
      </c>
      <c r="H7" s="471">
        <v>0</v>
      </c>
      <c r="I7" s="471">
        <v>0</v>
      </c>
      <c r="J7" s="471">
        <v>0</v>
      </c>
      <c r="K7" s="471">
        <v>0</v>
      </c>
      <c r="L7" s="471">
        <v>0</v>
      </c>
      <c r="M7" s="471">
        <v>0</v>
      </c>
      <c r="N7" s="471">
        <v>0</v>
      </c>
      <c r="O7" s="471">
        <v>0</v>
      </c>
      <c r="P7" s="471">
        <v>0</v>
      </c>
      <c r="Q7" s="471">
        <f t="shared" si="0"/>
        <v>0</v>
      </c>
      <c r="R7" s="471">
        <f t="shared" si="1"/>
        <v>0</v>
      </c>
      <c r="S7" s="473">
        <f t="shared" si="2"/>
        <v>0</v>
      </c>
      <c r="T7" s="1417"/>
      <c r="U7" s="756" t="s">
        <v>303</v>
      </c>
      <c r="V7" s="757" t="s">
        <v>873</v>
      </c>
      <c r="W7" s="471">
        <v>0</v>
      </c>
      <c r="X7" s="471">
        <v>0</v>
      </c>
      <c r="Y7" s="471">
        <v>0</v>
      </c>
      <c r="Z7" s="471">
        <v>0</v>
      </c>
      <c r="AA7" s="471"/>
      <c r="AB7" s="471">
        <v>0</v>
      </c>
      <c r="AC7" s="471">
        <v>0</v>
      </c>
      <c r="AD7" s="471">
        <v>0</v>
      </c>
      <c r="AE7" s="471">
        <v>0</v>
      </c>
      <c r="AF7" s="471">
        <v>0</v>
      </c>
      <c r="AG7" s="471"/>
      <c r="AH7" s="473">
        <f t="shared" si="3"/>
        <v>0</v>
      </c>
      <c r="AJ7" s="484">
        <v>0</v>
      </c>
    </row>
    <row r="8" spans="1:36" ht="12.75">
      <c r="A8" s="1417"/>
      <c r="B8" s="756" t="s">
        <v>303</v>
      </c>
      <c r="C8" s="757" t="s">
        <v>304</v>
      </c>
      <c r="D8" s="471">
        <v>8319</v>
      </c>
      <c r="E8" s="471">
        <v>5824</v>
      </c>
      <c r="F8" s="471">
        <v>2246</v>
      </c>
      <c r="G8" s="471">
        <v>0</v>
      </c>
      <c r="H8" s="471">
        <v>0</v>
      </c>
      <c r="I8" s="471">
        <v>0</v>
      </c>
      <c r="J8" s="471">
        <v>0</v>
      </c>
      <c r="K8" s="471">
        <v>0</v>
      </c>
      <c r="L8" s="471">
        <v>0</v>
      </c>
      <c r="M8" s="471">
        <v>0</v>
      </c>
      <c r="N8" s="471">
        <v>0</v>
      </c>
      <c r="O8" s="471">
        <v>0</v>
      </c>
      <c r="P8" s="471">
        <v>0</v>
      </c>
      <c r="Q8" s="471">
        <f t="shared" si="0"/>
        <v>54555</v>
      </c>
      <c r="R8" s="471">
        <f t="shared" si="1"/>
        <v>10565</v>
      </c>
      <c r="S8" s="473">
        <f t="shared" si="2"/>
        <v>65120</v>
      </c>
      <c r="T8" s="1417"/>
      <c r="U8" s="756" t="s">
        <v>303</v>
      </c>
      <c r="V8" s="757" t="s">
        <v>304</v>
      </c>
      <c r="W8" s="471">
        <v>38239</v>
      </c>
      <c r="X8" s="471">
        <v>10181</v>
      </c>
      <c r="Y8" s="471">
        <v>16700</v>
      </c>
      <c r="Z8" s="471">
        <v>7068</v>
      </c>
      <c r="AA8" s="471"/>
      <c r="AB8" s="471">
        <v>0</v>
      </c>
      <c r="AC8" s="471">
        <v>0</v>
      </c>
      <c r="AD8" s="471">
        <v>0</v>
      </c>
      <c r="AE8" s="471">
        <v>0</v>
      </c>
      <c r="AF8" s="471">
        <v>0</v>
      </c>
      <c r="AG8" s="471"/>
      <c r="AH8" s="473">
        <f t="shared" si="3"/>
        <v>65120</v>
      </c>
      <c r="AJ8" s="484">
        <v>65120</v>
      </c>
    </row>
    <row r="9" spans="1:36" ht="12.75">
      <c r="A9" s="1417"/>
      <c r="B9" s="756" t="s">
        <v>303</v>
      </c>
      <c r="C9" s="757" t="s">
        <v>305</v>
      </c>
      <c r="D9" s="471">
        <v>8319</v>
      </c>
      <c r="E9" s="471">
        <v>5824</v>
      </c>
      <c r="F9" s="471">
        <v>2246</v>
      </c>
      <c r="G9" s="471">
        <v>0</v>
      </c>
      <c r="H9" s="471">
        <v>0</v>
      </c>
      <c r="I9" s="471">
        <v>0</v>
      </c>
      <c r="J9" s="471">
        <v>0</v>
      </c>
      <c r="K9" s="471">
        <v>0</v>
      </c>
      <c r="L9" s="471">
        <v>528</v>
      </c>
      <c r="M9" s="471">
        <v>0</v>
      </c>
      <c r="N9" s="471">
        <v>137</v>
      </c>
      <c r="O9" s="471">
        <v>0</v>
      </c>
      <c r="P9" s="471">
        <v>0</v>
      </c>
      <c r="Q9" s="471">
        <f t="shared" si="0"/>
        <v>55191</v>
      </c>
      <c r="R9" s="471">
        <f t="shared" si="1"/>
        <v>11230</v>
      </c>
      <c r="S9" s="473">
        <f t="shared" si="2"/>
        <v>66421</v>
      </c>
      <c r="T9" s="1417"/>
      <c r="U9" s="756" t="s">
        <v>303</v>
      </c>
      <c r="V9" s="757" t="s">
        <v>305</v>
      </c>
      <c r="W9" s="471">
        <f>38239+165+501</f>
        <v>38905</v>
      </c>
      <c r="X9" s="471">
        <f>10181+52+135</f>
        <v>10368</v>
      </c>
      <c r="Y9" s="471">
        <f>16700+448</f>
        <v>17148</v>
      </c>
      <c r="Z9" s="471">
        <v>7068</v>
      </c>
      <c r="AA9" s="471"/>
      <c r="AB9" s="471">
        <v>0</v>
      </c>
      <c r="AC9" s="471">
        <v>0</v>
      </c>
      <c r="AD9" s="471">
        <v>0</v>
      </c>
      <c r="AE9" s="471">
        <v>0</v>
      </c>
      <c r="AF9" s="471">
        <v>0</v>
      </c>
      <c r="AG9" s="471"/>
      <c r="AH9" s="473">
        <f t="shared" si="3"/>
        <v>66421</v>
      </c>
      <c r="AJ9" s="484">
        <v>65120</v>
      </c>
    </row>
    <row r="10" spans="1:36" ht="12.75">
      <c r="A10" s="1417"/>
      <c r="B10" s="756" t="s">
        <v>303</v>
      </c>
      <c r="C10" s="757" t="s">
        <v>306</v>
      </c>
      <c r="D10" s="471">
        <v>8319</v>
      </c>
      <c r="E10" s="471">
        <v>5824</v>
      </c>
      <c r="F10" s="471">
        <v>2246</v>
      </c>
      <c r="G10" s="471">
        <v>0</v>
      </c>
      <c r="H10" s="471">
        <v>0</v>
      </c>
      <c r="I10" s="471">
        <v>0</v>
      </c>
      <c r="J10" s="471">
        <v>0</v>
      </c>
      <c r="K10" s="471">
        <v>0</v>
      </c>
      <c r="L10" s="471">
        <v>528</v>
      </c>
      <c r="M10" s="471">
        <v>0</v>
      </c>
      <c r="N10" s="471">
        <v>137</v>
      </c>
      <c r="O10" s="471">
        <v>0</v>
      </c>
      <c r="P10" s="471">
        <v>0</v>
      </c>
      <c r="Q10" s="471">
        <f t="shared" si="0"/>
        <v>55839</v>
      </c>
      <c r="R10" s="471">
        <f t="shared" si="1"/>
        <v>11230</v>
      </c>
      <c r="S10" s="473">
        <f t="shared" si="2"/>
        <v>67069</v>
      </c>
      <c r="T10" s="1417"/>
      <c r="U10" s="756" t="s">
        <v>303</v>
      </c>
      <c r="V10" s="757" t="s">
        <v>306</v>
      </c>
      <c r="W10" s="471">
        <f>38239+165+501+510</f>
        <v>39415</v>
      </c>
      <c r="X10" s="471">
        <f>10181+52+135+138</f>
        <v>10506</v>
      </c>
      <c r="Y10" s="471">
        <f>16700+448</f>
        <v>17148</v>
      </c>
      <c r="Z10" s="471">
        <v>7068</v>
      </c>
      <c r="AA10" s="471"/>
      <c r="AB10" s="471">
        <v>0</v>
      </c>
      <c r="AC10" s="471">
        <v>0</v>
      </c>
      <c r="AD10" s="471">
        <v>0</v>
      </c>
      <c r="AE10" s="471">
        <v>0</v>
      </c>
      <c r="AF10" s="471">
        <v>0</v>
      </c>
      <c r="AG10" s="471"/>
      <c r="AH10" s="473">
        <f t="shared" si="3"/>
        <v>67069</v>
      </c>
      <c r="AJ10" s="484"/>
    </row>
    <row r="11" spans="1:36" ht="12.75">
      <c r="A11" s="1417"/>
      <c r="B11" s="756" t="s">
        <v>303</v>
      </c>
      <c r="C11" s="757" t="s">
        <v>307</v>
      </c>
      <c r="D11" s="471">
        <v>8319</v>
      </c>
      <c r="E11" s="471">
        <v>5824</v>
      </c>
      <c r="F11" s="471">
        <v>2246</v>
      </c>
      <c r="G11" s="471">
        <v>0</v>
      </c>
      <c r="H11" s="471">
        <v>0</v>
      </c>
      <c r="I11" s="471">
        <v>0</v>
      </c>
      <c r="J11" s="471">
        <v>0</v>
      </c>
      <c r="K11" s="471">
        <v>0</v>
      </c>
      <c r="L11" s="471">
        <v>528</v>
      </c>
      <c r="M11" s="471">
        <v>0</v>
      </c>
      <c r="N11" s="471">
        <v>137</v>
      </c>
      <c r="O11" s="471">
        <v>0</v>
      </c>
      <c r="P11" s="471">
        <v>0</v>
      </c>
      <c r="Q11" s="471">
        <f>AH11-R11</f>
        <v>61843</v>
      </c>
      <c r="R11" s="471">
        <f>SUM(D11:O11)-E11</f>
        <v>11230</v>
      </c>
      <c r="S11" s="473">
        <f>Q11+R11</f>
        <v>73073</v>
      </c>
      <c r="T11" s="1417"/>
      <c r="U11" s="756" t="s">
        <v>303</v>
      </c>
      <c r="V11" s="757" t="s">
        <v>307</v>
      </c>
      <c r="W11" s="471">
        <f>38239+165+501+510+174+485+1651+138+2280</f>
        <v>44143</v>
      </c>
      <c r="X11" s="472">
        <f>10181+52+135+138+46+131+446+38+615</f>
        <v>11782</v>
      </c>
      <c r="Y11" s="471">
        <f>16700+448-126</f>
        <v>17022</v>
      </c>
      <c r="Z11" s="471">
        <v>7068</v>
      </c>
      <c r="AA11" s="471"/>
      <c r="AB11" s="471">
        <v>0</v>
      </c>
      <c r="AC11" s="471">
        <v>0</v>
      </c>
      <c r="AD11" s="471">
        <v>0</v>
      </c>
      <c r="AE11" s="471">
        <v>126</v>
      </c>
      <c r="AF11" s="471">
        <v>0</v>
      </c>
      <c r="AG11" s="471"/>
      <c r="AH11" s="473">
        <f>SUM(W11:AF11)-Z11</f>
        <v>73073</v>
      </c>
      <c r="AJ11" s="484"/>
    </row>
    <row r="12" spans="1:36" ht="12.75">
      <c r="A12" s="1417"/>
      <c r="B12" s="756" t="s">
        <v>303</v>
      </c>
      <c r="C12" s="757" t="s">
        <v>308</v>
      </c>
      <c r="D12" s="471">
        <v>8319</v>
      </c>
      <c r="E12" s="471">
        <v>5824</v>
      </c>
      <c r="F12" s="471">
        <v>2246</v>
      </c>
      <c r="G12" s="471">
        <v>0</v>
      </c>
      <c r="H12" s="471">
        <v>0</v>
      </c>
      <c r="I12" s="471">
        <v>0</v>
      </c>
      <c r="J12" s="471">
        <v>0</v>
      </c>
      <c r="K12" s="471">
        <v>0</v>
      </c>
      <c r="L12" s="471">
        <v>528</v>
      </c>
      <c r="M12" s="471">
        <v>0</v>
      </c>
      <c r="N12" s="471">
        <v>137</v>
      </c>
      <c r="O12" s="471">
        <v>0</v>
      </c>
      <c r="P12" s="471">
        <v>0</v>
      </c>
      <c r="Q12" s="471">
        <f>AH12-R12</f>
        <v>62192</v>
      </c>
      <c r="R12" s="471">
        <f>SUM(D12:O12)-E12</f>
        <v>11230</v>
      </c>
      <c r="S12" s="473">
        <f>Q12+R12</f>
        <v>73422</v>
      </c>
      <c r="T12" s="1417"/>
      <c r="U12" s="756" t="s">
        <v>303</v>
      </c>
      <c r="V12" s="757" t="s">
        <v>308</v>
      </c>
      <c r="W12" s="471">
        <f>38239+165+501+510+174+485+1651+138+2280+68+207</f>
        <v>44418</v>
      </c>
      <c r="X12" s="472">
        <f>10181+52+135+138+46+131+446+38+615+18+56</f>
        <v>11856</v>
      </c>
      <c r="Y12" s="471">
        <f>16700+448-126</f>
        <v>17022</v>
      </c>
      <c r="Z12" s="471">
        <v>7068</v>
      </c>
      <c r="AA12" s="471"/>
      <c r="AB12" s="471">
        <v>0</v>
      </c>
      <c r="AC12" s="471">
        <v>0</v>
      </c>
      <c r="AD12" s="471">
        <v>0</v>
      </c>
      <c r="AE12" s="471">
        <v>126</v>
      </c>
      <c r="AF12" s="471">
        <v>0</v>
      </c>
      <c r="AG12" s="471"/>
      <c r="AH12" s="473">
        <f>SUM(W12:AF12)-Z12</f>
        <v>73422</v>
      </c>
      <c r="AJ12" s="484"/>
    </row>
    <row r="13" spans="1:36" ht="12.75">
      <c r="A13" s="1417"/>
      <c r="B13" s="756" t="s">
        <v>303</v>
      </c>
      <c r="C13" s="757" t="s">
        <v>527</v>
      </c>
      <c r="D13" s="471">
        <v>8319</v>
      </c>
      <c r="E13" s="471">
        <v>5824</v>
      </c>
      <c r="F13" s="471">
        <v>2246</v>
      </c>
      <c r="G13" s="471">
        <v>0</v>
      </c>
      <c r="H13" s="471">
        <v>0</v>
      </c>
      <c r="I13" s="471">
        <v>0</v>
      </c>
      <c r="J13" s="471">
        <v>0</v>
      </c>
      <c r="K13" s="471">
        <v>0</v>
      </c>
      <c r="L13" s="471">
        <v>528</v>
      </c>
      <c r="M13" s="471">
        <v>0</v>
      </c>
      <c r="N13" s="471">
        <v>137</v>
      </c>
      <c r="O13" s="471">
        <v>0</v>
      </c>
      <c r="P13" s="471">
        <v>0</v>
      </c>
      <c r="Q13" s="471">
        <f>AH13-R13</f>
        <v>62192</v>
      </c>
      <c r="R13" s="471">
        <f>SUM(D13:O13)-E13</f>
        <v>11230</v>
      </c>
      <c r="S13" s="473">
        <f>Q13+R13</f>
        <v>73422</v>
      </c>
      <c r="T13" s="1417"/>
      <c r="U13" s="756" t="s">
        <v>303</v>
      </c>
      <c r="V13" s="757" t="s">
        <v>527</v>
      </c>
      <c r="W13" s="471">
        <f>38239+165+501+510+174+485+1651+138+2280+68+207</f>
        <v>44418</v>
      </c>
      <c r="X13" s="472">
        <f>10181+52+135+138+46+131+446+38+615+18+56</f>
        <v>11856</v>
      </c>
      <c r="Y13" s="471">
        <f>16700+448-126</f>
        <v>17022</v>
      </c>
      <c r="Z13" s="471">
        <v>7068</v>
      </c>
      <c r="AA13" s="471"/>
      <c r="AB13" s="471">
        <v>0</v>
      </c>
      <c r="AC13" s="471">
        <v>0</v>
      </c>
      <c r="AD13" s="471">
        <v>0</v>
      </c>
      <c r="AE13" s="471">
        <v>126</v>
      </c>
      <c r="AF13" s="471">
        <v>0</v>
      </c>
      <c r="AG13" s="471"/>
      <c r="AH13" s="473">
        <f>SUM(W13:AF13)-Z13</f>
        <v>73422</v>
      </c>
      <c r="AJ13" s="484"/>
    </row>
    <row r="14" spans="1:36" ht="12.75" customHeight="1">
      <c r="A14" s="1417"/>
      <c r="B14" s="756" t="s">
        <v>303</v>
      </c>
      <c r="C14" s="757" t="s">
        <v>321</v>
      </c>
      <c r="D14" s="471">
        <f>950+6538+4</f>
        <v>7492</v>
      </c>
      <c r="E14" s="471">
        <v>5391</v>
      </c>
      <c r="F14" s="471">
        <v>2022</v>
      </c>
      <c r="G14" s="471"/>
      <c r="H14" s="471">
        <v>0</v>
      </c>
      <c r="I14" s="471">
        <v>0</v>
      </c>
      <c r="J14" s="471">
        <v>0</v>
      </c>
      <c r="K14" s="471">
        <v>0</v>
      </c>
      <c r="L14" s="471">
        <v>528</v>
      </c>
      <c r="M14" s="471">
        <v>0</v>
      </c>
      <c r="N14" s="471">
        <v>137</v>
      </c>
      <c r="O14" s="471">
        <v>0</v>
      </c>
      <c r="P14" s="471">
        <v>0</v>
      </c>
      <c r="Q14" s="471">
        <v>61648</v>
      </c>
      <c r="R14" s="471">
        <f>SUM(D14:O14)-E14</f>
        <v>10179</v>
      </c>
      <c r="S14" s="473">
        <f>Q14+R14</f>
        <v>71827</v>
      </c>
      <c r="T14" s="1417"/>
      <c r="U14" s="756" t="s">
        <v>303</v>
      </c>
      <c r="V14" s="757" t="s">
        <v>321</v>
      </c>
      <c r="W14" s="471">
        <v>44119</v>
      </c>
      <c r="X14" s="472">
        <v>11112</v>
      </c>
      <c r="Y14" s="471">
        <v>15909</v>
      </c>
      <c r="Z14" s="471">
        <v>7068</v>
      </c>
      <c r="AA14" s="471"/>
      <c r="AB14" s="471">
        <v>0</v>
      </c>
      <c r="AC14" s="471">
        <v>0</v>
      </c>
      <c r="AD14" s="471">
        <v>334</v>
      </c>
      <c r="AE14" s="471">
        <v>126</v>
      </c>
      <c r="AF14" s="471">
        <v>0</v>
      </c>
      <c r="AG14" s="471"/>
      <c r="AH14" s="473">
        <f>SUM(W14:AF14)-Z14</f>
        <v>71600</v>
      </c>
      <c r="AJ14" s="484"/>
    </row>
    <row r="15" spans="1:36" ht="12.75">
      <c r="A15" s="1417" t="s">
        <v>186</v>
      </c>
      <c r="B15" s="756" t="s">
        <v>303</v>
      </c>
      <c r="C15" s="757" t="s">
        <v>873</v>
      </c>
      <c r="D15" s="471">
        <v>1855</v>
      </c>
      <c r="E15" s="471">
        <v>1650</v>
      </c>
      <c r="F15" s="471">
        <v>501</v>
      </c>
      <c r="G15" s="471">
        <v>0</v>
      </c>
      <c r="H15" s="471">
        <v>0</v>
      </c>
      <c r="I15" s="471">
        <v>0</v>
      </c>
      <c r="J15" s="471">
        <v>0</v>
      </c>
      <c r="K15" s="471">
        <v>0</v>
      </c>
      <c r="L15" s="471"/>
      <c r="M15" s="471">
        <v>0</v>
      </c>
      <c r="N15" s="471">
        <v>0</v>
      </c>
      <c r="O15" s="471">
        <v>0</v>
      </c>
      <c r="P15" s="471">
        <v>0</v>
      </c>
      <c r="Q15" s="471">
        <f t="shared" si="0"/>
        <v>23410</v>
      </c>
      <c r="R15" s="471">
        <f t="shared" si="1"/>
        <v>2356</v>
      </c>
      <c r="S15" s="473">
        <f t="shared" si="2"/>
        <v>25766</v>
      </c>
      <c r="T15" s="1417" t="s">
        <v>186</v>
      </c>
      <c r="U15" s="756" t="s">
        <v>303</v>
      </c>
      <c r="V15" s="757" t="s">
        <v>873</v>
      </c>
      <c r="W15" s="471">
        <v>14552</v>
      </c>
      <c r="X15" s="471">
        <v>3866</v>
      </c>
      <c r="Y15" s="471">
        <v>7348</v>
      </c>
      <c r="Z15" s="471">
        <v>3051</v>
      </c>
      <c r="AA15" s="471"/>
      <c r="AB15" s="471">
        <v>0</v>
      </c>
      <c r="AC15" s="471">
        <v>0</v>
      </c>
      <c r="AD15" s="471">
        <v>0</v>
      </c>
      <c r="AE15" s="471">
        <v>0</v>
      </c>
      <c r="AF15" s="471">
        <v>0</v>
      </c>
      <c r="AG15" s="471"/>
      <c r="AH15" s="473">
        <f t="shared" si="3"/>
        <v>25766</v>
      </c>
      <c r="AJ15" s="484">
        <v>25766</v>
      </c>
    </row>
    <row r="16" spans="1:36" ht="12.75">
      <c r="A16" s="1417"/>
      <c r="B16" s="756" t="s">
        <v>303</v>
      </c>
      <c r="C16" s="757" t="s">
        <v>304</v>
      </c>
      <c r="D16" s="471">
        <v>1855</v>
      </c>
      <c r="E16" s="471">
        <v>1650</v>
      </c>
      <c r="F16" s="471">
        <v>501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/>
      <c r="M16" s="471">
        <v>0</v>
      </c>
      <c r="N16" s="471">
        <v>0</v>
      </c>
      <c r="O16" s="471">
        <v>0</v>
      </c>
      <c r="P16" s="471">
        <v>0</v>
      </c>
      <c r="Q16" s="471">
        <f t="shared" si="0"/>
        <v>23410</v>
      </c>
      <c r="R16" s="471">
        <f t="shared" si="1"/>
        <v>2356</v>
      </c>
      <c r="S16" s="473">
        <f t="shared" si="2"/>
        <v>25766</v>
      </c>
      <c r="T16" s="1417"/>
      <c r="U16" s="756" t="s">
        <v>303</v>
      </c>
      <c r="V16" s="757" t="s">
        <v>304</v>
      </c>
      <c r="W16" s="471">
        <v>14552</v>
      </c>
      <c r="X16" s="471">
        <v>3866</v>
      </c>
      <c r="Y16" s="471">
        <v>7348</v>
      </c>
      <c r="Z16" s="471">
        <v>3051</v>
      </c>
      <c r="AA16" s="471"/>
      <c r="AB16" s="471">
        <v>0</v>
      </c>
      <c r="AC16" s="471">
        <v>0</v>
      </c>
      <c r="AD16" s="471">
        <v>0</v>
      </c>
      <c r="AE16" s="471">
        <v>0</v>
      </c>
      <c r="AF16" s="471">
        <v>0</v>
      </c>
      <c r="AG16" s="471"/>
      <c r="AH16" s="473">
        <f t="shared" si="3"/>
        <v>25766</v>
      </c>
      <c r="AJ16" s="484">
        <v>25766</v>
      </c>
    </row>
    <row r="17" spans="1:36" ht="12.75">
      <c r="A17" s="1417"/>
      <c r="B17" s="756" t="s">
        <v>303</v>
      </c>
      <c r="C17" s="757" t="s">
        <v>305</v>
      </c>
      <c r="D17" s="471">
        <v>1855</v>
      </c>
      <c r="E17" s="471">
        <v>1650</v>
      </c>
      <c r="F17" s="471">
        <v>501</v>
      </c>
      <c r="G17" s="471">
        <v>0</v>
      </c>
      <c r="H17" s="471">
        <v>0</v>
      </c>
      <c r="I17" s="471">
        <v>0</v>
      </c>
      <c r="J17" s="471">
        <v>0</v>
      </c>
      <c r="K17" s="471">
        <v>0</v>
      </c>
      <c r="L17" s="471">
        <v>282</v>
      </c>
      <c r="M17" s="471">
        <v>0</v>
      </c>
      <c r="N17" s="471">
        <v>48</v>
      </c>
      <c r="O17" s="471">
        <v>0</v>
      </c>
      <c r="P17" s="471">
        <v>0</v>
      </c>
      <c r="Q17" s="471">
        <f t="shared" si="0"/>
        <v>23575</v>
      </c>
      <c r="R17" s="471">
        <f t="shared" si="1"/>
        <v>2686</v>
      </c>
      <c r="S17" s="473">
        <f t="shared" si="2"/>
        <v>26261</v>
      </c>
      <c r="T17" s="1417"/>
      <c r="U17" s="756" t="s">
        <v>303</v>
      </c>
      <c r="V17" s="757" t="s">
        <v>305</v>
      </c>
      <c r="W17" s="471">
        <f>14552+216+129</f>
        <v>14897</v>
      </c>
      <c r="X17" s="471">
        <f>3866+58+36</f>
        <v>3960</v>
      </c>
      <c r="Y17" s="471">
        <f>7348+56</f>
        <v>7404</v>
      </c>
      <c r="Z17" s="471">
        <v>3051</v>
      </c>
      <c r="AA17" s="471"/>
      <c r="AB17" s="471">
        <v>0</v>
      </c>
      <c r="AC17" s="471">
        <v>0</v>
      </c>
      <c r="AD17" s="471">
        <v>0</v>
      </c>
      <c r="AE17" s="471">
        <v>0</v>
      </c>
      <c r="AF17" s="471">
        <v>0</v>
      </c>
      <c r="AG17" s="471"/>
      <c r="AH17" s="473">
        <f t="shared" si="3"/>
        <v>26261</v>
      </c>
      <c r="AJ17" s="484">
        <v>25766</v>
      </c>
    </row>
    <row r="18" spans="1:36" ht="12.75">
      <c r="A18" s="1417"/>
      <c r="B18" s="756" t="s">
        <v>303</v>
      </c>
      <c r="C18" s="757" t="s">
        <v>306</v>
      </c>
      <c r="D18" s="471">
        <v>1855</v>
      </c>
      <c r="E18" s="471">
        <v>1650</v>
      </c>
      <c r="F18" s="471">
        <v>501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1">
        <v>282</v>
      </c>
      <c r="M18" s="471">
        <v>0</v>
      </c>
      <c r="N18" s="471">
        <v>48</v>
      </c>
      <c r="O18" s="471">
        <v>0</v>
      </c>
      <c r="P18" s="471">
        <v>0</v>
      </c>
      <c r="Q18" s="471">
        <f t="shared" si="0"/>
        <v>23728</v>
      </c>
      <c r="R18" s="471">
        <f t="shared" si="1"/>
        <v>2686</v>
      </c>
      <c r="S18" s="473">
        <f t="shared" si="2"/>
        <v>26414</v>
      </c>
      <c r="T18" s="1417"/>
      <c r="U18" s="756" t="s">
        <v>303</v>
      </c>
      <c r="V18" s="757" t="s">
        <v>306</v>
      </c>
      <c r="W18" s="471">
        <f>14552+216+129+120</f>
        <v>15017</v>
      </c>
      <c r="X18" s="471">
        <f>3866+58+36+33</f>
        <v>3993</v>
      </c>
      <c r="Y18" s="471">
        <f>7348+56</f>
        <v>7404</v>
      </c>
      <c r="Z18" s="471">
        <v>3051</v>
      </c>
      <c r="AA18" s="471"/>
      <c r="AB18" s="471">
        <v>0</v>
      </c>
      <c r="AC18" s="471">
        <v>0</v>
      </c>
      <c r="AD18" s="471">
        <v>0</v>
      </c>
      <c r="AE18" s="471">
        <v>0</v>
      </c>
      <c r="AF18" s="471">
        <v>0</v>
      </c>
      <c r="AG18" s="471"/>
      <c r="AH18" s="473">
        <f t="shared" si="3"/>
        <v>26414</v>
      </c>
      <c r="AJ18" s="484"/>
    </row>
    <row r="19" spans="1:36" ht="12.75">
      <c r="A19" s="1417"/>
      <c r="B19" s="756" t="s">
        <v>303</v>
      </c>
      <c r="C19" s="757" t="s">
        <v>307</v>
      </c>
      <c r="D19" s="471">
        <v>1855</v>
      </c>
      <c r="E19" s="471">
        <v>1650</v>
      </c>
      <c r="F19" s="471">
        <v>501</v>
      </c>
      <c r="G19" s="471">
        <v>0</v>
      </c>
      <c r="H19" s="471">
        <v>0</v>
      </c>
      <c r="I19" s="471">
        <v>0</v>
      </c>
      <c r="J19" s="471">
        <v>0</v>
      </c>
      <c r="K19" s="471">
        <v>0</v>
      </c>
      <c r="L19" s="471">
        <v>282</v>
      </c>
      <c r="M19" s="471">
        <v>0</v>
      </c>
      <c r="N19" s="471">
        <v>48</v>
      </c>
      <c r="O19" s="471">
        <v>0</v>
      </c>
      <c r="P19" s="471">
        <v>0</v>
      </c>
      <c r="Q19" s="471">
        <f>AH19-R19</f>
        <v>25019</v>
      </c>
      <c r="R19" s="471">
        <f>SUM(D19:O19)-E19</f>
        <v>2686</v>
      </c>
      <c r="S19" s="473">
        <f>Q19+R19</f>
        <v>27705</v>
      </c>
      <c r="T19" s="1417"/>
      <c r="U19" s="756" t="s">
        <v>303</v>
      </c>
      <c r="V19" s="757" t="s">
        <v>307</v>
      </c>
      <c r="W19" s="471">
        <f>14552+216+129+120+51+77+60+828</f>
        <v>16033</v>
      </c>
      <c r="X19" s="471">
        <f>3866+58+36+33+14+21+16+224</f>
        <v>4268</v>
      </c>
      <c r="Y19" s="471">
        <f>7348+56</f>
        <v>7404</v>
      </c>
      <c r="Z19" s="471">
        <v>3051</v>
      </c>
      <c r="AA19" s="471"/>
      <c r="AB19" s="471">
        <v>0</v>
      </c>
      <c r="AC19" s="471">
        <v>0</v>
      </c>
      <c r="AD19" s="471">
        <v>0</v>
      </c>
      <c r="AE19" s="471">
        <v>0</v>
      </c>
      <c r="AF19" s="471">
        <v>0</v>
      </c>
      <c r="AG19" s="471"/>
      <c r="AH19" s="473">
        <f>SUM(W19:AF19)-Z19</f>
        <v>27705</v>
      </c>
      <c r="AJ19" s="484"/>
    </row>
    <row r="20" spans="1:36" ht="12.75">
      <c r="A20" s="1417"/>
      <c r="B20" s="756" t="s">
        <v>303</v>
      </c>
      <c r="C20" s="757" t="s">
        <v>308</v>
      </c>
      <c r="D20" s="471">
        <v>1855</v>
      </c>
      <c r="E20" s="471">
        <v>1650</v>
      </c>
      <c r="F20" s="471">
        <v>501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1">
        <v>282</v>
      </c>
      <c r="M20" s="471">
        <v>0</v>
      </c>
      <c r="N20" s="471">
        <v>48</v>
      </c>
      <c r="O20" s="471">
        <v>0</v>
      </c>
      <c r="P20" s="471">
        <v>0</v>
      </c>
      <c r="Q20" s="471">
        <f>AH20-R20</f>
        <v>25024</v>
      </c>
      <c r="R20" s="471">
        <f>SUM(D20:O20)-E20</f>
        <v>2686</v>
      </c>
      <c r="S20" s="473">
        <f>Q20+R20</f>
        <v>27710</v>
      </c>
      <c r="T20" s="1417"/>
      <c r="U20" s="756" t="s">
        <v>303</v>
      </c>
      <c r="V20" s="757" t="s">
        <v>308</v>
      </c>
      <c r="W20" s="471">
        <f>14552+216+129+120+51+77+60+828+4</f>
        <v>16037</v>
      </c>
      <c r="X20" s="471">
        <f>3866+58+36+33+14+21+16+224+1</f>
        <v>4269</v>
      </c>
      <c r="Y20" s="471">
        <f>7348+56</f>
        <v>7404</v>
      </c>
      <c r="Z20" s="471">
        <v>3051</v>
      </c>
      <c r="AA20" s="471"/>
      <c r="AB20" s="471">
        <v>0</v>
      </c>
      <c r="AC20" s="471">
        <v>0</v>
      </c>
      <c r="AD20" s="471">
        <v>0</v>
      </c>
      <c r="AE20" s="471">
        <v>0</v>
      </c>
      <c r="AF20" s="471">
        <v>0</v>
      </c>
      <c r="AG20" s="471"/>
      <c r="AH20" s="473">
        <f>SUM(W20:AF20)-Z20</f>
        <v>27710</v>
      </c>
      <c r="AJ20" s="484"/>
    </row>
    <row r="21" spans="1:36" ht="12.75">
      <c r="A21" s="1417"/>
      <c r="B21" s="756" t="s">
        <v>303</v>
      </c>
      <c r="C21" s="757" t="s">
        <v>527</v>
      </c>
      <c r="D21" s="471">
        <v>1855</v>
      </c>
      <c r="E21" s="471">
        <v>1650</v>
      </c>
      <c r="F21" s="471">
        <v>501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1">
        <v>282</v>
      </c>
      <c r="M21" s="471">
        <v>0</v>
      </c>
      <c r="N21" s="471">
        <v>48</v>
      </c>
      <c r="O21" s="471">
        <v>0</v>
      </c>
      <c r="P21" s="471">
        <v>0</v>
      </c>
      <c r="Q21" s="471">
        <f>AH21-R21</f>
        <v>25024</v>
      </c>
      <c r="R21" s="471">
        <f>SUM(D21:O21)-E21</f>
        <v>2686</v>
      </c>
      <c r="S21" s="473">
        <f>Q21+R21</f>
        <v>27710</v>
      </c>
      <c r="T21" s="1417"/>
      <c r="U21" s="756" t="s">
        <v>303</v>
      </c>
      <c r="V21" s="757" t="s">
        <v>527</v>
      </c>
      <c r="W21" s="471">
        <f>14552+216+129+120+51+77+60+828+4</f>
        <v>16037</v>
      </c>
      <c r="X21" s="471">
        <f>3866+58+36+33+14+21+16+224+1</f>
        <v>4269</v>
      </c>
      <c r="Y21" s="471">
        <f>7348+56</f>
        <v>7404</v>
      </c>
      <c r="Z21" s="471">
        <v>3051</v>
      </c>
      <c r="AA21" s="471"/>
      <c r="AB21" s="471">
        <v>0</v>
      </c>
      <c r="AC21" s="471">
        <v>0</v>
      </c>
      <c r="AD21" s="471">
        <v>0</v>
      </c>
      <c r="AE21" s="471">
        <v>0</v>
      </c>
      <c r="AF21" s="471">
        <v>0</v>
      </c>
      <c r="AG21" s="471"/>
      <c r="AH21" s="473">
        <f>SUM(W21:AF21)-Z21</f>
        <v>27710</v>
      </c>
      <c r="AJ21" s="484"/>
    </row>
    <row r="22" spans="1:36" ht="12.75" customHeight="1">
      <c r="A22" s="1417"/>
      <c r="B22" s="756" t="s">
        <v>303</v>
      </c>
      <c r="C22" s="757" t="s">
        <v>321</v>
      </c>
      <c r="D22" s="471">
        <f>2+1611</f>
        <v>1613</v>
      </c>
      <c r="E22" s="471">
        <v>1367</v>
      </c>
      <c r="F22" s="471">
        <v>398</v>
      </c>
      <c r="G22" s="471"/>
      <c r="H22" s="471">
        <v>0</v>
      </c>
      <c r="I22" s="471">
        <v>0</v>
      </c>
      <c r="J22" s="471">
        <v>0</v>
      </c>
      <c r="K22" s="471">
        <v>0</v>
      </c>
      <c r="L22" s="471">
        <v>282</v>
      </c>
      <c r="M22" s="471">
        <v>0</v>
      </c>
      <c r="N22" s="471">
        <v>48</v>
      </c>
      <c r="O22" s="471">
        <v>0</v>
      </c>
      <c r="P22" s="471">
        <v>0</v>
      </c>
      <c r="Q22" s="471">
        <v>23560</v>
      </c>
      <c r="R22" s="471">
        <f>SUM(D22:O22)-E22</f>
        <v>2341</v>
      </c>
      <c r="S22" s="473">
        <f>Q22+R22</f>
        <v>25901</v>
      </c>
      <c r="T22" s="1417"/>
      <c r="U22" s="756" t="s">
        <v>303</v>
      </c>
      <c r="V22" s="757" t="s">
        <v>321</v>
      </c>
      <c r="W22" s="471">
        <v>15621</v>
      </c>
      <c r="X22" s="471">
        <v>4185</v>
      </c>
      <c r="Y22" s="471">
        <v>6029</v>
      </c>
      <c r="Z22" s="471">
        <v>2921</v>
      </c>
      <c r="AA22" s="471"/>
      <c r="AB22" s="471">
        <v>0</v>
      </c>
      <c r="AC22" s="471">
        <v>0</v>
      </c>
      <c r="AD22" s="471">
        <v>11</v>
      </c>
      <c r="AE22" s="471">
        <v>0</v>
      </c>
      <c r="AF22" s="471">
        <v>0</v>
      </c>
      <c r="AG22" s="471"/>
      <c r="AH22" s="473">
        <f>SUM(W22:AF22)-Z22</f>
        <v>25846</v>
      </c>
      <c r="AJ22" s="484"/>
    </row>
    <row r="23" spans="1:36" ht="12.75">
      <c r="A23" s="1417" t="s">
        <v>187</v>
      </c>
      <c r="B23" s="756" t="s">
        <v>303</v>
      </c>
      <c r="C23" s="757" t="s">
        <v>873</v>
      </c>
      <c r="D23" s="471">
        <v>5082</v>
      </c>
      <c r="E23" s="471">
        <v>4604</v>
      </c>
      <c r="F23" s="471">
        <v>1372</v>
      </c>
      <c r="G23" s="471">
        <v>0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f t="shared" si="0"/>
        <v>45576</v>
      </c>
      <c r="R23" s="471">
        <f t="shared" si="1"/>
        <v>6454</v>
      </c>
      <c r="S23" s="473">
        <f t="shared" si="2"/>
        <v>52030</v>
      </c>
      <c r="T23" s="1417" t="s">
        <v>187</v>
      </c>
      <c r="U23" s="756" t="s">
        <v>303</v>
      </c>
      <c r="V23" s="757" t="s">
        <v>873</v>
      </c>
      <c r="W23" s="471">
        <v>31321</v>
      </c>
      <c r="X23" s="471">
        <v>8331</v>
      </c>
      <c r="Y23" s="471">
        <v>12378</v>
      </c>
      <c r="Z23" s="471">
        <v>5656</v>
      </c>
      <c r="AA23" s="471"/>
      <c r="AB23" s="471">
        <v>0</v>
      </c>
      <c r="AC23" s="471">
        <v>0</v>
      </c>
      <c r="AD23" s="471">
        <v>0</v>
      </c>
      <c r="AE23" s="471">
        <v>0</v>
      </c>
      <c r="AF23" s="471">
        <v>0</v>
      </c>
      <c r="AG23" s="471"/>
      <c r="AH23" s="473">
        <f t="shared" si="3"/>
        <v>52030</v>
      </c>
      <c r="AJ23" s="484">
        <v>52030</v>
      </c>
    </row>
    <row r="24" spans="1:36" ht="12.75">
      <c r="A24" s="1417"/>
      <c r="B24" s="756" t="s">
        <v>303</v>
      </c>
      <c r="C24" s="757" t="s">
        <v>304</v>
      </c>
      <c r="D24" s="471">
        <v>5082</v>
      </c>
      <c r="E24" s="471">
        <v>4604</v>
      </c>
      <c r="F24" s="471">
        <v>1372</v>
      </c>
      <c r="G24" s="471">
        <v>0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f t="shared" si="0"/>
        <v>45576</v>
      </c>
      <c r="R24" s="471">
        <f t="shared" si="1"/>
        <v>6454</v>
      </c>
      <c r="S24" s="473">
        <f t="shared" si="2"/>
        <v>52030</v>
      </c>
      <c r="T24" s="1417"/>
      <c r="U24" s="756" t="s">
        <v>303</v>
      </c>
      <c r="V24" s="757" t="s">
        <v>304</v>
      </c>
      <c r="W24" s="471">
        <v>31321</v>
      </c>
      <c r="X24" s="471">
        <v>8331</v>
      </c>
      <c r="Y24" s="471">
        <v>12378</v>
      </c>
      <c r="Z24" s="471">
        <v>5656</v>
      </c>
      <c r="AA24" s="471"/>
      <c r="AB24" s="471">
        <v>0</v>
      </c>
      <c r="AC24" s="471">
        <v>0</v>
      </c>
      <c r="AD24" s="471">
        <v>0</v>
      </c>
      <c r="AE24" s="471">
        <v>0</v>
      </c>
      <c r="AF24" s="471">
        <v>0</v>
      </c>
      <c r="AG24" s="471"/>
      <c r="AH24" s="473">
        <f t="shared" si="3"/>
        <v>52030</v>
      </c>
      <c r="AJ24" s="484">
        <v>52030</v>
      </c>
    </row>
    <row r="25" spans="1:36" ht="12.75">
      <c r="A25" s="1417"/>
      <c r="B25" s="756" t="s">
        <v>303</v>
      </c>
      <c r="C25" s="757" t="s">
        <v>305</v>
      </c>
      <c r="D25" s="471">
        <v>5082</v>
      </c>
      <c r="E25" s="471">
        <v>4604</v>
      </c>
      <c r="F25" s="471">
        <v>1372</v>
      </c>
      <c r="G25" s="471">
        <v>0</v>
      </c>
      <c r="H25" s="471">
        <v>0</v>
      </c>
      <c r="I25" s="471">
        <v>0</v>
      </c>
      <c r="J25" s="471">
        <v>0</v>
      </c>
      <c r="K25" s="471">
        <v>0</v>
      </c>
      <c r="L25" s="471">
        <v>948</v>
      </c>
      <c r="M25" s="471">
        <v>0</v>
      </c>
      <c r="N25" s="471">
        <v>231</v>
      </c>
      <c r="O25" s="471">
        <v>0</v>
      </c>
      <c r="P25" s="471">
        <v>0</v>
      </c>
      <c r="Q25" s="471">
        <f t="shared" si="0"/>
        <v>46104</v>
      </c>
      <c r="R25" s="471">
        <f t="shared" si="1"/>
        <v>7633</v>
      </c>
      <c r="S25" s="473">
        <f t="shared" si="2"/>
        <v>53737</v>
      </c>
      <c r="T25" s="1417"/>
      <c r="U25" s="756" t="s">
        <v>303</v>
      </c>
      <c r="V25" s="757" t="s">
        <v>305</v>
      </c>
      <c r="W25" s="471">
        <f>31321+490+416</f>
        <v>32227</v>
      </c>
      <c r="X25" s="471">
        <f>8331+132+112</f>
        <v>8575</v>
      </c>
      <c r="Y25" s="471">
        <f>12378+557</f>
        <v>12935</v>
      </c>
      <c r="Z25" s="471">
        <v>5656</v>
      </c>
      <c r="AA25" s="471"/>
      <c r="AB25" s="471">
        <v>0</v>
      </c>
      <c r="AC25" s="471">
        <v>0</v>
      </c>
      <c r="AD25" s="471">
        <v>0</v>
      </c>
      <c r="AE25" s="471">
        <v>0</v>
      </c>
      <c r="AF25" s="471">
        <v>0</v>
      </c>
      <c r="AG25" s="471"/>
      <c r="AH25" s="473">
        <f t="shared" si="3"/>
        <v>53737</v>
      </c>
      <c r="AJ25" s="484">
        <v>52030</v>
      </c>
    </row>
    <row r="26" spans="1:36" ht="12.75">
      <c r="A26" s="1417"/>
      <c r="B26" s="756" t="s">
        <v>303</v>
      </c>
      <c r="C26" s="757" t="s">
        <v>306</v>
      </c>
      <c r="D26" s="471">
        <v>5082</v>
      </c>
      <c r="E26" s="471">
        <v>4604</v>
      </c>
      <c r="F26" s="471">
        <v>1372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1">
        <v>948</v>
      </c>
      <c r="M26" s="471">
        <v>0</v>
      </c>
      <c r="N26" s="471">
        <v>231</v>
      </c>
      <c r="O26" s="471">
        <v>0</v>
      </c>
      <c r="P26" s="471">
        <v>0</v>
      </c>
      <c r="Q26" s="471">
        <f t="shared" si="0"/>
        <v>46634</v>
      </c>
      <c r="R26" s="471">
        <f t="shared" si="1"/>
        <v>7633</v>
      </c>
      <c r="S26" s="473">
        <f t="shared" si="2"/>
        <v>54267</v>
      </c>
      <c r="T26" s="1417"/>
      <c r="U26" s="756" t="s">
        <v>303</v>
      </c>
      <c r="V26" s="757" t="s">
        <v>306</v>
      </c>
      <c r="W26" s="471">
        <f>31321+490+416+417</f>
        <v>32644</v>
      </c>
      <c r="X26" s="471">
        <f>8331+132+112+113</f>
        <v>8688</v>
      </c>
      <c r="Y26" s="471">
        <f>12378+557</f>
        <v>12935</v>
      </c>
      <c r="Z26" s="471">
        <v>5656</v>
      </c>
      <c r="AA26" s="471"/>
      <c r="AB26" s="471">
        <v>0</v>
      </c>
      <c r="AC26" s="471">
        <v>0</v>
      </c>
      <c r="AD26" s="471">
        <v>0</v>
      </c>
      <c r="AE26" s="471">
        <v>0</v>
      </c>
      <c r="AF26" s="471">
        <v>0</v>
      </c>
      <c r="AG26" s="471"/>
      <c r="AH26" s="473">
        <f t="shared" si="3"/>
        <v>54267</v>
      </c>
      <c r="AJ26" s="484"/>
    </row>
    <row r="27" spans="1:36" ht="12.75">
      <c r="A27" s="1417"/>
      <c r="B27" s="756" t="s">
        <v>303</v>
      </c>
      <c r="C27" s="757" t="s">
        <v>307</v>
      </c>
      <c r="D27" s="471">
        <v>5082</v>
      </c>
      <c r="E27" s="471">
        <v>4604</v>
      </c>
      <c r="F27" s="471">
        <v>1372</v>
      </c>
      <c r="G27" s="471">
        <v>0</v>
      </c>
      <c r="H27" s="471">
        <v>0</v>
      </c>
      <c r="I27" s="471">
        <v>0</v>
      </c>
      <c r="J27" s="471">
        <v>0</v>
      </c>
      <c r="K27" s="471">
        <v>0</v>
      </c>
      <c r="L27" s="471">
        <v>948</v>
      </c>
      <c r="M27" s="471">
        <v>0</v>
      </c>
      <c r="N27" s="471">
        <v>231</v>
      </c>
      <c r="O27" s="471">
        <v>0</v>
      </c>
      <c r="P27" s="471">
        <v>0</v>
      </c>
      <c r="Q27" s="471">
        <f>AH27-R27</f>
        <v>51024</v>
      </c>
      <c r="R27" s="471">
        <f>SUM(D27:O27)-E27</f>
        <v>7633</v>
      </c>
      <c r="S27" s="473">
        <f>Q27+R27</f>
        <v>58657</v>
      </c>
      <c r="T27" s="1417"/>
      <c r="U27" s="756" t="s">
        <v>303</v>
      </c>
      <c r="V27" s="757" t="s">
        <v>307</v>
      </c>
      <c r="W27" s="471">
        <f>31321+490+416+417+155+410+684+343+1864</f>
        <v>36100</v>
      </c>
      <c r="X27" s="471">
        <f>8331+132+112+113+42+111+185+93+503</f>
        <v>9622</v>
      </c>
      <c r="Y27" s="471">
        <f>12378+557</f>
        <v>12935</v>
      </c>
      <c r="Z27" s="471">
        <v>5656</v>
      </c>
      <c r="AA27" s="471"/>
      <c r="AB27" s="471">
        <v>0</v>
      </c>
      <c r="AC27" s="471">
        <v>0</v>
      </c>
      <c r="AD27" s="471">
        <v>0</v>
      </c>
      <c r="AE27" s="471">
        <v>0</v>
      </c>
      <c r="AF27" s="471">
        <v>0</v>
      </c>
      <c r="AG27" s="471"/>
      <c r="AH27" s="473">
        <f>SUM(W27:AF27)-Z27</f>
        <v>58657</v>
      </c>
      <c r="AJ27" s="484"/>
    </row>
    <row r="28" spans="1:36" ht="12.75">
      <c r="A28" s="1417"/>
      <c r="B28" s="756" t="s">
        <v>303</v>
      </c>
      <c r="C28" s="757" t="s">
        <v>308</v>
      </c>
      <c r="D28" s="471">
        <v>5082</v>
      </c>
      <c r="E28" s="471">
        <v>4604</v>
      </c>
      <c r="F28" s="471">
        <v>1372</v>
      </c>
      <c r="G28" s="471">
        <v>0</v>
      </c>
      <c r="H28" s="471">
        <v>0</v>
      </c>
      <c r="I28" s="471">
        <v>0</v>
      </c>
      <c r="J28" s="471">
        <v>0</v>
      </c>
      <c r="K28" s="471">
        <v>0</v>
      </c>
      <c r="L28" s="471">
        <v>948</v>
      </c>
      <c r="M28" s="471">
        <v>0</v>
      </c>
      <c r="N28" s="471">
        <v>231</v>
      </c>
      <c r="O28" s="471">
        <v>0</v>
      </c>
      <c r="P28" s="471">
        <v>0</v>
      </c>
      <c r="Q28" s="471">
        <f>AH28-R28</f>
        <v>51108</v>
      </c>
      <c r="R28" s="471">
        <f>SUM(D28:O28)-E28</f>
        <v>7633</v>
      </c>
      <c r="S28" s="473">
        <f>Q28+R28</f>
        <v>58741</v>
      </c>
      <c r="T28" s="1417"/>
      <c r="U28" s="756" t="s">
        <v>303</v>
      </c>
      <c r="V28" s="757" t="s">
        <v>308</v>
      </c>
      <c r="W28" s="471">
        <f>31321+490+416+417+155+410+684+343+1864+66</f>
        <v>36166</v>
      </c>
      <c r="X28" s="471">
        <f>8331+132+112+113+42+111+185+93+503+18</f>
        <v>9640</v>
      </c>
      <c r="Y28" s="471">
        <f>12378+557</f>
        <v>12935</v>
      </c>
      <c r="Z28" s="471">
        <v>5656</v>
      </c>
      <c r="AA28" s="471"/>
      <c r="AB28" s="471">
        <v>0</v>
      </c>
      <c r="AC28" s="471">
        <v>0</v>
      </c>
      <c r="AD28" s="471">
        <v>0</v>
      </c>
      <c r="AE28" s="471">
        <v>0</v>
      </c>
      <c r="AF28" s="471">
        <v>0</v>
      </c>
      <c r="AG28" s="471"/>
      <c r="AH28" s="473">
        <f>SUM(W28:AF28)-Z28</f>
        <v>58741</v>
      </c>
      <c r="AJ28" s="484"/>
    </row>
    <row r="29" spans="1:36" ht="12.75">
      <c r="A29" s="1417"/>
      <c r="B29" s="756" t="s">
        <v>303</v>
      </c>
      <c r="C29" s="757" t="s">
        <v>527</v>
      </c>
      <c r="D29" s="471">
        <v>5082</v>
      </c>
      <c r="E29" s="471">
        <v>4604</v>
      </c>
      <c r="F29" s="471">
        <v>1372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1">
        <v>948</v>
      </c>
      <c r="M29" s="471">
        <v>0</v>
      </c>
      <c r="N29" s="471">
        <v>231</v>
      </c>
      <c r="O29" s="471">
        <v>0</v>
      </c>
      <c r="P29" s="471">
        <v>0</v>
      </c>
      <c r="Q29" s="471">
        <f>AH29-R29</f>
        <v>51108</v>
      </c>
      <c r="R29" s="471">
        <f>SUM(D29:O29)-E29</f>
        <v>7633</v>
      </c>
      <c r="S29" s="473">
        <f>Q29+R29</f>
        <v>58741</v>
      </c>
      <c r="T29" s="1417"/>
      <c r="U29" s="756" t="s">
        <v>303</v>
      </c>
      <c r="V29" s="757" t="s">
        <v>527</v>
      </c>
      <c r="W29" s="471">
        <f>31321+490+416+417+155+410+684+343+1864+66</f>
        <v>36166</v>
      </c>
      <c r="X29" s="471">
        <f>8331+132+112+113+42+111+185+93+503+18</f>
        <v>9640</v>
      </c>
      <c r="Y29" s="471">
        <f>12378+557</f>
        <v>12935</v>
      </c>
      <c r="Z29" s="471">
        <v>5656</v>
      </c>
      <c r="AA29" s="471"/>
      <c r="AB29" s="471">
        <v>0</v>
      </c>
      <c r="AC29" s="471">
        <v>0</v>
      </c>
      <c r="AD29" s="471">
        <v>0</v>
      </c>
      <c r="AE29" s="471">
        <v>0</v>
      </c>
      <c r="AF29" s="471">
        <v>0</v>
      </c>
      <c r="AG29" s="471"/>
      <c r="AH29" s="473">
        <f>SUM(W29:AF29)-Z29</f>
        <v>58741</v>
      </c>
      <c r="AJ29" s="484"/>
    </row>
    <row r="30" spans="1:36" ht="12.75" customHeight="1">
      <c r="A30" s="1417"/>
      <c r="B30" s="756" t="s">
        <v>303</v>
      </c>
      <c r="C30" s="757" t="s">
        <v>321</v>
      </c>
      <c r="D30" s="471">
        <f>3+4598</f>
        <v>4601</v>
      </c>
      <c r="E30" s="471">
        <v>4299</v>
      </c>
      <c r="F30" s="471">
        <v>1241</v>
      </c>
      <c r="G30" s="471"/>
      <c r="H30" s="471">
        <v>0</v>
      </c>
      <c r="I30" s="471">
        <v>0</v>
      </c>
      <c r="J30" s="471">
        <v>0</v>
      </c>
      <c r="K30" s="471">
        <v>0</v>
      </c>
      <c r="L30" s="471">
        <v>948</v>
      </c>
      <c r="M30" s="471">
        <v>0</v>
      </c>
      <c r="N30" s="471">
        <v>231</v>
      </c>
      <c r="O30" s="471">
        <v>0</v>
      </c>
      <c r="P30" s="471">
        <v>0</v>
      </c>
      <c r="Q30" s="471">
        <v>49021</v>
      </c>
      <c r="R30" s="471">
        <f>SUM(D30:O30)-E30</f>
        <v>7021</v>
      </c>
      <c r="S30" s="473">
        <f>Q30+R30</f>
        <v>56042</v>
      </c>
      <c r="T30" s="1417"/>
      <c r="U30" s="756" t="s">
        <v>303</v>
      </c>
      <c r="V30" s="757" t="s">
        <v>321</v>
      </c>
      <c r="W30" s="471">
        <v>35275</v>
      </c>
      <c r="X30" s="471">
        <v>9231</v>
      </c>
      <c r="Y30" s="471">
        <v>11434</v>
      </c>
      <c r="Z30" s="471">
        <v>5656</v>
      </c>
      <c r="AA30" s="471"/>
      <c r="AB30" s="471">
        <v>0</v>
      </c>
      <c r="AC30" s="471">
        <v>0</v>
      </c>
      <c r="AD30" s="471">
        <v>-6</v>
      </c>
      <c r="AE30" s="471">
        <v>0</v>
      </c>
      <c r="AF30" s="471">
        <v>0</v>
      </c>
      <c r="AG30" s="471"/>
      <c r="AH30" s="473">
        <f>SUM(W30:AF30)-Z30</f>
        <v>55934</v>
      </c>
      <c r="AJ30" s="484"/>
    </row>
    <row r="31" spans="1:36" ht="12.75">
      <c r="A31" s="1417" t="s">
        <v>309</v>
      </c>
      <c r="B31" s="756" t="s">
        <v>303</v>
      </c>
      <c r="C31" s="757" t="s">
        <v>873</v>
      </c>
      <c r="D31" s="471">
        <v>8809</v>
      </c>
      <c r="E31" s="471">
        <v>5142</v>
      </c>
      <c r="F31" s="471">
        <v>2378</v>
      </c>
      <c r="G31" s="471">
        <v>0</v>
      </c>
      <c r="H31" s="471">
        <v>0</v>
      </c>
      <c r="I31" s="471">
        <v>0</v>
      </c>
      <c r="J31" s="471">
        <v>0</v>
      </c>
      <c r="K31" s="471">
        <v>0</v>
      </c>
      <c r="L31" s="471"/>
      <c r="M31" s="471">
        <v>0</v>
      </c>
      <c r="N31" s="471">
        <v>0</v>
      </c>
      <c r="O31" s="471">
        <v>0</v>
      </c>
      <c r="P31" s="471">
        <v>0</v>
      </c>
      <c r="Q31" s="471">
        <f t="shared" si="0"/>
        <v>64369</v>
      </c>
      <c r="R31" s="471">
        <f t="shared" si="1"/>
        <v>11187</v>
      </c>
      <c r="S31" s="473">
        <f t="shared" si="2"/>
        <v>75556</v>
      </c>
      <c r="T31" s="1417" t="s">
        <v>309</v>
      </c>
      <c r="U31" s="756" t="s">
        <v>303</v>
      </c>
      <c r="V31" s="757" t="s">
        <v>873</v>
      </c>
      <c r="W31" s="471">
        <v>40858</v>
      </c>
      <c r="X31" s="471">
        <v>10791</v>
      </c>
      <c r="Y31" s="471">
        <v>23907</v>
      </c>
      <c r="Z31" s="471">
        <v>7301</v>
      </c>
      <c r="AA31" s="471"/>
      <c r="AB31" s="471">
        <v>0</v>
      </c>
      <c r="AC31" s="471">
        <v>0</v>
      </c>
      <c r="AD31" s="471">
        <v>0</v>
      </c>
      <c r="AE31" s="471">
        <v>0</v>
      </c>
      <c r="AF31" s="471">
        <v>0</v>
      </c>
      <c r="AG31" s="471"/>
      <c r="AH31" s="473">
        <f t="shared" si="3"/>
        <v>75556</v>
      </c>
      <c r="AJ31" s="484">
        <v>75556</v>
      </c>
    </row>
    <row r="32" spans="1:36" ht="12.75">
      <c r="A32" s="1417"/>
      <c r="B32" s="756" t="s">
        <v>303</v>
      </c>
      <c r="C32" s="757" t="s">
        <v>304</v>
      </c>
      <c r="D32" s="471">
        <v>8809</v>
      </c>
      <c r="E32" s="471">
        <v>5142</v>
      </c>
      <c r="F32" s="471">
        <v>2378</v>
      </c>
      <c r="G32" s="471">
        <v>0</v>
      </c>
      <c r="H32" s="471">
        <v>0</v>
      </c>
      <c r="I32" s="471">
        <v>0</v>
      </c>
      <c r="J32" s="471">
        <v>0</v>
      </c>
      <c r="K32" s="471">
        <v>0</v>
      </c>
      <c r="L32" s="471"/>
      <c r="M32" s="471">
        <v>0</v>
      </c>
      <c r="N32" s="471">
        <v>0</v>
      </c>
      <c r="O32" s="471">
        <v>0</v>
      </c>
      <c r="P32" s="471">
        <v>0</v>
      </c>
      <c r="Q32" s="471">
        <f t="shared" si="0"/>
        <v>64369</v>
      </c>
      <c r="R32" s="471">
        <f t="shared" si="1"/>
        <v>11187</v>
      </c>
      <c r="S32" s="473">
        <f t="shared" si="2"/>
        <v>75556</v>
      </c>
      <c r="T32" s="1417"/>
      <c r="U32" s="756" t="s">
        <v>303</v>
      </c>
      <c r="V32" s="757" t="s">
        <v>304</v>
      </c>
      <c r="W32" s="471">
        <v>40858</v>
      </c>
      <c r="X32" s="471">
        <v>10791</v>
      </c>
      <c r="Y32" s="471">
        <v>23907</v>
      </c>
      <c r="Z32" s="471">
        <v>7301</v>
      </c>
      <c r="AA32" s="471"/>
      <c r="AB32" s="471">
        <v>0</v>
      </c>
      <c r="AC32" s="471">
        <v>0</v>
      </c>
      <c r="AD32" s="471">
        <v>0</v>
      </c>
      <c r="AE32" s="471">
        <v>0</v>
      </c>
      <c r="AF32" s="471">
        <v>0</v>
      </c>
      <c r="AG32" s="471"/>
      <c r="AH32" s="473">
        <f t="shared" si="3"/>
        <v>75556</v>
      </c>
      <c r="AJ32" s="484">
        <v>75556</v>
      </c>
    </row>
    <row r="33" spans="1:36" ht="12.75">
      <c r="A33" s="1417"/>
      <c r="B33" s="756" t="s">
        <v>303</v>
      </c>
      <c r="C33" s="757" t="s">
        <v>305</v>
      </c>
      <c r="D33" s="471">
        <v>8809</v>
      </c>
      <c r="E33" s="471">
        <v>5142</v>
      </c>
      <c r="F33" s="471">
        <v>2378</v>
      </c>
      <c r="G33" s="471">
        <v>0</v>
      </c>
      <c r="H33" s="471">
        <v>0</v>
      </c>
      <c r="I33" s="471">
        <v>0</v>
      </c>
      <c r="J33" s="471">
        <v>0</v>
      </c>
      <c r="K33" s="471">
        <v>0</v>
      </c>
      <c r="L33" s="471">
        <v>506</v>
      </c>
      <c r="M33" s="471">
        <v>0</v>
      </c>
      <c r="N33" s="471">
        <v>249</v>
      </c>
      <c r="O33" s="471">
        <v>0</v>
      </c>
      <c r="P33" s="471">
        <v>0</v>
      </c>
      <c r="Q33" s="471">
        <f t="shared" si="0"/>
        <v>64792</v>
      </c>
      <c r="R33" s="471">
        <f t="shared" si="1"/>
        <v>11942</v>
      </c>
      <c r="S33" s="473">
        <f t="shared" si="2"/>
        <v>76734</v>
      </c>
      <c r="T33" s="1417"/>
      <c r="U33" s="756" t="s">
        <v>303</v>
      </c>
      <c r="V33" s="757" t="s">
        <v>305</v>
      </c>
      <c r="W33" s="471">
        <f>40858+334</f>
        <v>41192</v>
      </c>
      <c r="X33" s="471">
        <f>10791+89</f>
        <v>10880</v>
      </c>
      <c r="Y33" s="471">
        <f>23907+755</f>
        <v>24662</v>
      </c>
      <c r="Z33" s="471">
        <v>7301</v>
      </c>
      <c r="AA33" s="471"/>
      <c r="AB33" s="471">
        <v>0</v>
      </c>
      <c r="AC33" s="471">
        <v>0</v>
      </c>
      <c r="AD33" s="471">
        <v>0</v>
      </c>
      <c r="AE33" s="471">
        <v>0</v>
      </c>
      <c r="AF33" s="471">
        <v>0</v>
      </c>
      <c r="AG33" s="471"/>
      <c r="AH33" s="473">
        <f t="shared" si="3"/>
        <v>76734</v>
      </c>
      <c r="AJ33" s="484">
        <v>75556</v>
      </c>
    </row>
    <row r="34" spans="1:36" ht="12.75">
      <c r="A34" s="1417"/>
      <c r="B34" s="756" t="s">
        <v>303</v>
      </c>
      <c r="C34" s="757" t="s">
        <v>306</v>
      </c>
      <c r="D34" s="471">
        <f>8809+79</f>
        <v>8888</v>
      </c>
      <c r="E34" s="471">
        <v>5142</v>
      </c>
      <c r="F34" s="471">
        <f>2378+21</f>
        <v>2399</v>
      </c>
      <c r="G34" s="471">
        <v>0</v>
      </c>
      <c r="H34" s="471">
        <v>0</v>
      </c>
      <c r="I34" s="471">
        <v>0</v>
      </c>
      <c r="J34" s="471">
        <v>0</v>
      </c>
      <c r="K34" s="471">
        <v>0</v>
      </c>
      <c r="L34" s="471">
        <v>506</v>
      </c>
      <c r="M34" s="471">
        <v>0</v>
      </c>
      <c r="N34" s="471">
        <v>249</v>
      </c>
      <c r="O34" s="471">
        <v>0</v>
      </c>
      <c r="P34" s="471">
        <v>0</v>
      </c>
      <c r="Q34" s="471">
        <f t="shared" si="0"/>
        <v>65164</v>
      </c>
      <c r="R34" s="471">
        <f t="shared" si="1"/>
        <v>12042</v>
      </c>
      <c r="S34" s="473">
        <f t="shared" si="2"/>
        <v>77206</v>
      </c>
      <c r="T34" s="1417"/>
      <c r="U34" s="756" t="s">
        <v>303</v>
      </c>
      <c r="V34" s="757" t="s">
        <v>306</v>
      </c>
      <c r="W34" s="471">
        <f>40858+334+294</f>
        <v>41486</v>
      </c>
      <c r="X34" s="471">
        <f>10791+89+78</f>
        <v>10958</v>
      </c>
      <c r="Y34" s="471">
        <f>23907+755+100</f>
        <v>24762</v>
      </c>
      <c r="Z34" s="471">
        <v>7301</v>
      </c>
      <c r="AA34" s="471"/>
      <c r="AB34" s="471">
        <v>0</v>
      </c>
      <c r="AC34" s="471">
        <v>0</v>
      </c>
      <c r="AD34" s="471">
        <v>0</v>
      </c>
      <c r="AE34" s="471">
        <v>0</v>
      </c>
      <c r="AF34" s="471">
        <v>0</v>
      </c>
      <c r="AG34" s="471"/>
      <c r="AH34" s="473">
        <f t="shared" si="3"/>
        <v>77206</v>
      </c>
      <c r="AJ34" s="484"/>
    </row>
    <row r="35" spans="1:36" ht="12.75">
      <c r="A35" s="1417"/>
      <c r="B35" s="756" t="s">
        <v>303</v>
      </c>
      <c r="C35" s="757" t="s">
        <v>307</v>
      </c>
      <c r="D35" s="471">
        <f>8809+79+1635</f>
        <v>10523</v>
      </c>
      <c r="E35" s="471">
        <v>5142</v>
      </c>
      <c r="F35" s="471">
        <f>2378+21+441</f>
        <v>2840</v>
      </c>
      <c r="G35" s="471">
        <v>0</v>
      </c>
      <c r="H35" s="471">
        <v>0</v>
      </c>
      <c r="I35" s="471">
        <v>0</v>
      </c>
      <c r="J35" s="471">
        <v>0</v>
      </c>
      <c r="K35" s="471">
        <v>0</v>
      </c>
      <c r="L35" s="471">
        <v>506</v>
      </c>
      <c r="M35" s="471">
        <v>0</v>
      </c>
      <c r="N35" s="471">
        <v>249</v>
      </c>
      <c r="O35" s="471">
        <v>0</v>
      </c>
      <c r="P35" s="471">
        <v>0</v>
      </c>
      <c r="Q35" s="471">
        <f>AH35-R35</f>
        <v>71330</v>
      </c>
      <c r="R35" s="471">
        <f>SUM(D35:O35)-E35</f>
        <v>14118</v>
      </c>
      <c r="S35" s="473">
        <f>Q35+R35</f>
        <v>85448</v>
      </c>
      <c r="T35" s="1417"/>
      <c r="U35" s="756" t="s">
        <v>303</v>
      </c>
      <c r="V35" s="757" t="s">
        <v>307</v>
      </c>
      <c r="W35" s="471">
        <f>40858+334+294+80+231+941+657+2486</f>
        <v>45881</v>
      </c>
      <c r="X35" s="471">
        <f>10791+89+78+22+63+254+177+671</f>
        <v>12145</v>
      </c>
      <c r="Y35" s="471">
        <f>23907+755+100+2076+584</f>
        <v>27422</v>
      </c>
      <c r="Z35" s="471">
        <v>7301</v>
      </c>
      <c r="AA35" s="471"/>
      <c r="AB35" s="471">
        <v>0</v>
      </c>
      <c r="AC35" s="471">
        <v>0</v>
      </c>
      <c r="AD35" s="471">
        <v>0</v>
      </c>
      <c r="AE35" s="471">
        <v>0</v>
      </c>
      <c r="AF35" s="471">
        <v>0</v>
      </c>
      <c r="AG35" s="471"/>
      <c r="AH35" s="473">
        <f>SUM(W35:AF35)-Z35</f>
        <v>85448</v>
      </c>
      <c r="AJ35" s="484"/>
    </row>
    <row r="36" spans="1:36" ht="12.75">
      <c r="A36" s="1417"/>
      <c r="B36" s="756" t="s">
        <v>303</v>
      </c>
      <c r="C36" s="757" t="s">
        <v>308</v>
      </c>
      <c r="D36" s="471">
        <f>8809+79+1635+893</f>
        <v>11416</v>
      </c>
      <c r="E36" s="471">
        <v>5142</v>
      </c>
      <c r="F36" s="471">
        <f>2378+21+441+242</f>
        <v>3082</v>
      </c>
      <c r="G36" s="471">
        <v>0</v>
      </c>
      <c r="H36" s="471">
        <v>0</v>
      </c>
      <c r="I36" s="471">
        <v>0</v>
      </c>
      <c r="J36" s="471">
        <v>0</v>
      </c>
      <c r="K36" s="471">
        <v>0</v>
      </c>
      <c r="L36" s="471">
        <v>506</v>
      </c>
      <c r="M36" s="471">
        <v>0</v>
      </c>
      <c r="N36" s="471">
        <v>249</v>
      </c>
      <c r="O36" s="471">
        <v>0</v>
      </c>
      <c r="P36" s="471">
        <v>0</v>
      </c>
      <c r="Q36" s="471">
        <f>AH36-R36</f>
        <v>71369</v>
      </c>
      <c r="R36" s="471">
        <f>SUM(D36:O36)-E36</f>
        <v>15253</v>
      </c>
      <c r="S36" s="473">
        <f>Q36+R36</f>
        <v>86622</v>
      </c>
      <c r="T36" s="1417"/>
      <c r="U36" s="756" t="s">
        <v>303</v>
      </c>
      <c r="V36" s="757" t="s">
        <v>308</v>
      </c>
      <c r="W36" s="471">
        <f>40858+334+294+80+231+941+657+2486+31</f>
        <v>45912</v>
      </c>
      <c r="X36" s="471">
        <f>10791+89+78+22+63+254+177+671+8</f>
        <v>12153</v>
      </c>
      <c r="Y36" s="471">
        <f>23907+755+100+2076+584-137+1135</f>
        <v>28420</v>
      </c>
      <c r="Z36" s="471">
        <v>7301</v>
      </c>
      <c r="AA36" s="471"/>
      <c r="AB36" s="471">
        <v>0</v>
      </c>
      <c r="AC36" s="471">
        <v>0</v>
      </c>
      <c r="AD36" s="471">
        <v>0</v>
      </c>
      <c r="AE36" s="471">
        <v>137</v>
      </c>
      <c r="AF36" s="471">
        <v>0</v>
      </c>
      <c r="AG36" s="471"/>
      <c r="AH36" s="473">
        <f>SUM(W36:AF36)-Z36</f>
        <v>86622</v>
      </c>
      <c r="AJ36" s="484"/>
    </row>
    <row r="37" spans="1:36" ht="12.75">
      <c r="A37" s="1417"/>
      <c r="B37" s="756" t="s">
        <v>303</v>
      </c>
      <c r="C37" s="757" t="s">
        <v>527</v>
      </c>
      <c r="D37" s="471">
        <f>8809+79+1635+893</f>
        <v>11416</v>
      </c>
      <c r="E37" s="471">
        <v>5142</v>
      </c>
      <c r="F37" s="471">
        <f>2378+21+441+242</f>
        <v>3082</v>
      </c>
      <c r="G37" s="471">
        <v>0</v>
      </c>
      <c r="H37" s="471">
        <v>0</v>
      </c>
      <c r="I37" s="471">
        <v>0</v>
      </c>
      <c r="J37" s="471">
        <v>0</v>
      </c>
      <c r="K37" s="471">
        <v>0</v>
      </c>
      <c r="L37" s="471">
        <v>506</v>
      </c>
      <c r="M37" s="471">
        <v>0</v>
      </c>
      <c r="N37" s="471">
        <v>249</v>
      </c>
      <c r="O37" s="471">
        <v>0</v>
      </c>
      <c r="P37" s="471">
        <v>0</v>
      </c>
      <c r="Q37" s="471">
        <f>AH37-R37</f>
        <v>71369</v>
      </c>
      <c r="R37" s="471">
        <f>SUM(D37:O37)-E37</f>
        <v>15253</v>
      </c>
      <c r="S37" s="473">
        <f>Q37+R37</f>
        <v>86622</v>
      </c>
      <c r="T37" s="1417"/>
      <c r="U37" s="756" t="s">
        <v>303</v>
      </c>
      <c r="V37" s="757" t="s">
        <v>527</v>
      </c>
      <c r="W37" s="471">
        <f>40858+334+294+80+231+941+657+2486+31</f>
        <v>45912</v>
      </c>
      <c r="X37" s="471">
        <f>10791+89+78+22+63+254+177+671+8</f>
        <v>12153</v>
      </c>
      <c r="Y37" s="471">
        <f>23907+755+100+2076+584-137+1135</f>
        <v>28420</v>
      </c>
      <c r="Z37" s="471">
        <v>7301</v>
      </c>
      <c r="AA37" s="471"/>
      <c r="AB37" s="471">
        <v>0</v>
      </c>
      <c r="AC37" s="471">
        <v>0</v>
      </c>
      <c r="AD37" s="471">
        <v>0</v>
      </c>
      <c r="AE37" s="471">
        <v>137</v>
      </c>
      <c r="AF37" s="471">
        <v>0</v>
      </c>
      <c r="AG37" s="471"/>
      <c r="AH37" s="473">
        <f>SUM(W37:AF37)-Z37</f>
        <v>86622</v>
      </c>
      <c r="AJ37" s="484"/>
    </row>
    <row r="38" spans="1:36" ht="12.75" customHeight="1">
      <c r="A38" s="1417"/>
      <c r="B38" s="756" t="s">
        <v>303</v>
      </c>
      <c r="C38" s="757" t="s">
        <v>321</v>
      </c>
      <c r="D38" s="471">
        <f>7+6248+5168</f>
        <v>11423</v>
      </c>
      <c r="E38" s="471">
        <v>4972</v>
      </c>
      <c r="F38" s="471">
        <v>3082</v>
      </c>
      <c r="G38" s="471"/>
      <c r="H38" s="471">
        <v>0</v>
      </c>
      <c r="I38" s="471">
        <v>0</v>
      </c>
      <c r="J38" s="471">
        <v>0</v>
      </c>
      <c r="K38" s="471">
        <v>0</v>
      </c>
      <c r="L38" s="471">
        <v>506</v>
      </c>
      <c r="M38" s="471">
        <v>0</v>
      </c>
      <c r="N38" s="471">
        <v>249</v>
      </c>
      <c r="O38" s="471">
        <v>0</v>
      </c>
      <c r="P38" s="471">
        <v>0</v>
      </c>
      <c r="Q38" s="471">
        <v>64146</v>
      </c>
      <c r="R38" s="471">
        <f>SUM(D38:O38)-E38</f>
        <v>15260</v>
      </c>
      <c r="S38" s="473">
        <f>Q38+R38</f>
        <v>79406</v>
      </c>
      <c r="T38" s="1417"/>
      <c r="U38" s="756" t="s">
        <v>303</v>
      </c>
      <c r="V38" s="757" t="s">
        <v>321</v>
      </c>
      <c r="W38" s="471">
        <v>44471</v>
      </c>
      <c r="X38" s="471">
        <v>11234</v>
      </c>
      <c r="Y38" s="471">
        <v>23050</v>
      </c>
      <c r="Z38" s="471">
        <v>7301</v>
      </c>
      <c r="AA38" s="471"/>
      <c r="AB38" s="471">
        <v>0</v>
      </c>
      <c r="AC38" s="471">
        <v>0</v>
      </c>
      <c r="AD38" s="471">
        <v>0</v>
      </c>
      <c r="AE38" s="471">
        <v>137</v>
      </c>
      <c r="AF38" s="471">
        <v>0</v>
      </c>
      <c r="AG38" s="471"/>
      <c r="AH38" s="473">
        <f>SUM(W38:AF38)-Z38</f>
        <v>78892</v>
      </c>
      <c r="AJ38" s="484"/>
    </row>
    <row r="39" spans="1:36" ht="12.75">
      <c r="A39" s="1417" t="s">
        <v>188</v>
      </c>
      <c r="B39" s="756" t="s">
        <v>303</v>
      </c>
      <c r="C39" s="757" t="s">
        <v>873</v>
      </c>
      <c r="D39" s="471">
        <v>14948</v>
      </c>
      <c r="E39" s="471">
        <v>3206</v>
      </c>
      <c r="F39" s="471">
        <v>4036</v>
      </c>
      <c r="G39" s="471">
        <v>0</v>
      </c>
      <c r="H39" s="471">
        <v>0</v>
      </c>
      <c r="I39" s="471">
        <v>0</v>
      </c>
      <c r="J39" s="471">
        <v>0</v>
      </c>
      <c r="K39" s="471">
        <v>0</v>
      </c>
      <c r="L39" s="471">
        <v>0</v>
      </c>
      <c r="M39" s="471">
        <v>0</v>
      </c>
      <c r="N39" s="471">
        <v>0</v>
      </c>
      <c r="O39" s="471">
        <v>0</v>
      </c>
      <c r="P39" s="471">
        <v>0</v>
      </c>
      <c r="Q39" s="471">
        <f t="shared" si="0"/>
        <v>35843</v>
      </c>
      <c r="R39" s="471">
        <f t="shared" si="1"/>
        <v>18984</v>
      </c>
      <c r="S39" s="473">
        <f t="shared" si="2"/>
        <v>54827</v>
      </c>
      <c r="T39" s="1417" t="s">
        <v>188</v>
      </c>
      <c r="U39" s="756" t="s">
        <v>303</v>
      </c>
      <c r="V39" s="757" t="s">
        <v>873</v>
      </c>
      <c r="W39" s="471">
        <v>27788</v>
      </c>
      <c r="X39" s="471">
        <v>7355</v>
      </c>
      <c r="Y39" s="471">
        <v>19684</v>
      </c>
      <c r="Z39" s="471">
        <v>3783</v>
      </c>
      <c r="AA39" s="471"/>
      <c r="AB39" s="471">
        <v>0</v>
      </c>
      <c r="AC39" s="471">
        <v>0</v>
      </c>
      <c r="AD39" s="471">
        <v>0</v>
      </c>
      <c r="AE39" s="471">
        <v>0</v>
      </c>
      <c r="AF39" s="471">
        <v>0</v>
      </c>
      <c r="AG39" s="471"/>
      <c r="AH39" s="473">
        <f t="shared" si="3"/>
        <v>54827</v>
      </c>
      <c r="AJ39" s="484">
        <v>54827</v>
      </c>
    </row>
    <row r="40" spans="1:36" ht="12.75">
      <c r="A40" s="1417"/>
      <c r="B40" s="756" t="s">
        <v>303</v>
      </c>
      <c r="C40" s="757" t="s">
        <v>304</v>
      </c>
      <c r="D40" s="471">
        <v>14948</v>
      </c>
      <c r="E40" s="471">
        <v>3206</v>
      </c>
      <c r="F40" s="471">
        <v>4036</v>
      </c>
      <c r="G40" s="471">
        <v>0</v>
      </c>
      <c r="H40" s="471">
        <v>0</v>
      </c>
      <c r="I40" s="471">
        <v>0</v>
      </c>
      <c r="J40" s="471">
        <v>0</v>
      </c>
      <c r="K40" s="471">
        <v>0</v>
      </c>
      <c r="L40" s="471">
        <v>0</v>
      </c>
      <c r="M40" s="471">
        <v>0</v>
      </c>
      <c r="N40" s="471">
        <v>0</v>
      </c>
      <c r="O40" s="471">
        <v>0</v>
      </c>
      <c r="P40" s="471">
        <v>0</v>
      </c>
      <c r="Q40" s="471">
        <f t="shared" si="0"/>
        <v>35843</v>
      </c>
      <c r="R40" s="471">
        <f t="shared" si="1"/>
        <v>18984</v>
      </c>
      <c r="S40" s="473">
        <f t="shared" si="2"/>
        <v>54827</v>
      </c>
      <c r="T40" s="1417"/>
      <c r="U40" s="756" t="s">
        <v>303</v>
      </c>
      <c r="V40" s="757" t="s">
        <v>304</v>
      </c>
      <c r="W40" s="471">
        <v>27788</v>
      </c>
      <c r="X40" s="471">
        <v>7355</v>
      </c>
      <c r="Y40" s="471">
        <v>19684</v>
      </c>
      <c r="Z40" s="471">
        <v>3783</v>
      </c>
      <c r="AA40" s="471"/>
      <c r="AB40" s="471">
        <v>0</v>
      </c>
      <c r="AC40" s="471">
        <v>0</v>
      </c>
      <c r="AD40" s="471">
        <v>0</v>
      </c>
      <c r="AE40" s="471">
        <v>0</v>
      </c>
      <c r="AF40" s="471">
        <v>0</v>
      </c>
      <c r="AG40" s="471"/>
      <c r="AH40" s="473">
        <f t="shared" si="3"/>
        <v>54827</v>
      </c>
      <c r="AJ40" s="484">
        <v>54827</v>
      </c>
    </row>
    <row r="41" spans="1:36" ht="12.75">
      <c r="A41" s="1417"/>
      <c r="B41" s="756" t="s">
        <v>303</v>
      </c>
      <c r="C41" s="757" t="s">
        <v>305</v>
      </c>
      <c r="D41" s="471">
        <v>14948</v>
      </c>
      <c r="E41" s="471">
        <v>3206</v>
      </c>
      <c r="F41" s="471">
        <v>4036</v>
      </c>
      <c r="G41" s="471">
        <v>0</v>
      </c>
      <c r="H41" s="471">
        <v>0</v>
      </c>
      <c r="I41" s="471">
        <v>0</v>
      </c>
      <c r="J41" s="471">
        <v>0</v>
      </c>
      <c r="K41" s="471">
        <v>0</v>
      </c>
      <c r="L41" s="471">
        <v>682</v>
      </c>
      <c r="M41" s="471">
        <v>0</v>
      </c>
      <c r="N41" s="471">
        <v>88</v>
      </c>
      <c r="O41" s="471">
        <v>0</v>
      </c>
      <c r="P41" s="471">
        <v>0</v>
      </c>
      <c r="Q41" s="471">
        <f t="shared" si="0"/>
        <v>36225</v>
      </c>
      <c r="R41" s="471">
        <f t="shared" si="1"/>
        <v>19754</v>
      </c>
      <c r="S41" s="473">
        <f t="shared" si="2"/>
        <v>55979</v>
      </c>
      <c r="T41" s="1417"/>
      <c r="U41" s="756" t="s">
        <v>303</v>
      </c>
      <c r="V41" s="757" t="s">
        <v>305</v>
      </c>
      <c r="W41" s="471">
        <f>27788+301</f>
        <v>28089</v>
      </c>
      <c r="X41" s="471">
        <f>7355+81</f>
        <v>7436</v>
      </c>
      <c r="Y41" s="471">
        <f>19684+770</f>
        <v>20454</v>
      </c>
      <c r="Z41" s="471">
        <v>3783</v>
      </c>
      <c r="AA41" s="471"/>
      <c r="AB41" s="471">
        <v>0</v>
      </c>
      <c r="AC41" s="471">
        <v>0</v>
      </c>
      <c r="AD41" s="471">
        <v>0</v>
      </c>
      <c r="AE41" s="471">
        <v>0</v>
      </c>
      <c r="AF41" s="471">
        <v>0</v>
      </c>
      <c r="AG41" s="471"/>
      <c r="AH41" s="473">
        <f t="shared" si="3"/>
        <v>55979</v>
      </c>
      <c r="AJ41" s="484">
        <v>54827</v>
      </c>
    </row>
    <row r="42" spans="1:36" ht="12.75">
      <c r="A42" s="1417"/>
      <c r="B42" s="756" t="s">
        <v>303</v>
      </c>
      <c r="C42" s="757" t="s">
        <v>306</v>
      </c>
      <c r="D42" s="471">
        <v>14948</v>
      </c>
      <c r="E42" s="471">
        <v>3206</v>
      </c>
      <c r="F42" s="471">
        <v>4036</v>
      </c>
      <c r="G42" s="471">
        <v>0</v>
      </c>
      <c r="H42" s="471">
        <v>0</v>
      </c>
      <c r="I42" s="471">
        <v>0</v>
      </c>
      <c r="J42" s="471">
        <v>0</v>
      </c>
      <c r="K42" s="471">
        <v>0</v>
      </c>
      <c r="L42" s="471">
        <v>682</v>
      </c>
      <c r="M42" s="471">
        <v>0</v>
      </c>
      <c r="N42" s="471">
        <v>88</v>
      </c>
      <c r="O42" s="471">
        <v>0</v>
      </c>
      <c r="P42" s="471">
        <v>0</v>
      </c>
      <c r="Q42" s="471">
        <f t="shared" si="0"/>
        <v>36621</v>
      </c>
      <c r="R42" s="471">
        <f t="shared" si="1"/>
        <v>19754</v>
      </c>
      <c r="S42" s="473">
        <f t="shared" si="2"/>
        <v>56375</v>
      </c>
      <c r="T42" s="1417"/>
      <c r="U42" s="756" t="s">
        <v>303</v>
      </c>
      <c r="V42" s="757" t="s">
        <v>306</v>
      </c>
      <c r="W42" s="471">
        <f>27788+301+312</f>
        <v>28401</v>
      </c>
      <c r="X42" s="471">
        <f>7355+81+84</f>
        <v>7520</v>
      </c>
      <c r="Y42" s="471">
        <f>19684+770</f>
        <v>20454</v>
      </c>
      <c r="Z42" s="471">
        <v>3783</v>
      </c>
      <c r="AA42" s="471"/>
      <c r="AB42" s="471">
        <v>0</v>
      </c>
      <c r="AC42" s="471">
        <v>0</v>
      </c>
      <c r="AD42" s="471">
        <v>0</v>
      </c>
      <c r="AE42" s="471">
        <v>0</v>
      </c>
      <c r="AF42" s="471">
        <v>0</v>
      </c>
      <c r="AG42" s="471"/>
      <c r="AH42" s="473">
        <f t="shared" si="3"/>
        <v>56375</v>
      </c>
      <c r="AJ42" s="484"/>
    </row>
    <row r="43" spans="1:36" ht="12.75">
      <c r="A43" s="1417"/>
      <c r="B43" s="756" t="s">
        <v>303</v>
      </c>
      <c r="C43" s="757" t="s">
        <v>307</v>
      </c>
      <c r="D43" s="471">
        <f>14948+1044</f>
        <v>15992</v>
      </c>
      <c r="E43" s="471">
        <v>3206</v>
      </c>
      <c r="F43" s="471">
        <f>4036+282</f>
        <v>4318</v>
      </c>
      <c r="G43" s="471">
        <v>0</v>
      </c>
      <c r="H43" s="471">
        <v>0</v>
      </c>
      <c r="I43" s="471">
        <v>0</v>
      </c>
      <c r="J43" s="471">
        <v>0</v>
      </c>
      <c r="K43" s="471">
        <v>0</v>
      </c>
      <c r="L43" s="471">
        <v>682</v>
      </c>
      <c r="M43" s="471">
        <v>0</v>
      </c>
      <c r="N43" s="471">
        <v>88</v>
      </c>
      <c r="O43" s="471">
        <v>0</v>
      </c>
      <c r="P43" s="471">
        <v>0</v>
      </c>
      <c r="Q43" s="471">
        <f>AH43-R43</f>
        <v>40825</v>
      </c>
      <c r="R43" s="471">
        <f>SUM(D43:O43)-E43</f>
        <v>21080</v>
      </c>
      <c r="S43" s="473">
        <f>Q43+R43</f>
        <v>61905</v>
      </c>
      <c r="T43" s="1417"/>
      <c r="U43" s="756" t="s">
        <v>303</v>
      </c>
      <c r="V43" s="757" t="s">
        <v>307</v>
      </c>
      <c r="W43" s="471">
        <f>27788+301+312+102+308+116+636+1243</f>
        <v>30806</v>
      </c>
      <c r="X43" s="471">
        <f>7355+81+84+28+83+31+171+336</f>
        <v>8169</v>
      </c>
      <c r="Y43" s="471">
        <f>19684+770+1326+613+537</f>
        <v>22930</v>
      </c>
      <c r="Z43" s="471">
        <v>3783</v>
      </c>
      <c r="AA43" s="471"/>
      <c r="AB43" s="471">
        <v>0</v>
      </c>
      <c r="AC43" s="471">
        <v>0</v>
      </c>
      <c r="AD43" s="471">
        <v>0</v>
      </c>
      <c r="AE43" s="471">
        <v>0</v>
      </c>
      <c r="AF43" s="471">
        <v>0</v>
      </c>
      <c r="AG43" s="471"/>
      <c r="AH43" s="473">
        <f>SUM(W43:AF43)-Z43</f>
        <v>61905</v>
      </c>
      <c r="AJ43" s="484"/>
    </row>
    <row r="44" spans="1:36" ht="12.75">
      <c r="A44" s="1417"/>
      <c r="B44" s="756" t="s">
        <v>303</v>
      </c>
      <c r="C44" s="757" t="s">
        <v>308</v>
      </c>
      <c r="D44" s="471">
        <f>14948+1044+3461</f>
        <v>19453</v>
      </c>
      <c r="E44" s="471">
        <v>3206</v>
      </c>
      <c r="F44" s="471">
        <f>4036+282+934</f>
        <v>5252</v>
      </c>
      <c r="G44" s="471">
        <v>0</v>
      </c>
      <c r="H44" s="471">
        <v>0</v>
      </c>
      <c r="I44" s="471">
        <v>0</v>
      </c>
      <c r="J44" s="471">
        <v>0</v>
      </c>
      <c r="K44" s="471">
        <v>0</v>
      </c>
      <c r="L44" s="471">
        <v>682</v>
      </c>
      <c r="M44" s="471">
        <v>0</v>
      </c>
      <c r="N44" s="471">
        <v>88</v>
      </c>
      <c r="O44" s="471">
        <v>0</v>
      </c>
      <c r="P44" s="471">
        <v>0</v>
      </c>
      <c r="Q44" s="471">
        <f>AH44-R44</f>
        <v>40889</v>
      </c>
      <c r="R44" s="471">
        <f>SUM(D44:O44)-E44</f>
        <v>25475</v>
      </c>
      <c r="S44" s="473">
        <f>Q44+R44</f>
        <v>66364</v>
      </c>
      <c r="T44" s="1417"/>
      <c r="U44" s="756" t="s">
        <v>303</v>
      </c>
      <c r="V44" s="757" t="s">
        <v>308</v>
      </c>
      <c r="W44" s="471">
        <f>27788+301+312+102+308+116+636+1243+50</f>
        <v>30856</v>
      </c>
      <c r="X44" s="471">
        <f>7355+81+84+28+83+31+171+336+14</f>
        <v>8183</v>
      </c>
      <c r="Y44" s="471">
        <f>19684+770+1326+613+537+4395</f>
        <v>27325</v>
      </c>
      <c r="Z44" s="471">
        <v>3783</v>
      </c>
      <c r="AA44" s="471"/>
      <c r="AB44" s="471">
        <v>0</v>
      </c>
      <c r="AC44" s="471">
        <v>0</v>
      </c>
      <c r="AD44" s="471">
        <v>0</v>
      </c>
      <c r="AE44" s="471">
        <v>0</v>
      </c>
      <c r="AF44" s="471">
        <v>0</v>
      </c>
      <c r="AG44" s="471"/>
      <c r="AH44" s="473">
        <f>SUM(W44:AF44)-Z44</f>
        <v>66364</v>
      </c>
      <c r="AJ44" s="484"/>
    </row>
    <row r="45" spans="1:36" ht="12.75">
      <c r="A45" s="1417"/>
      <c r="B45" s="756" t="s">
        <v>303</v>
      </c>
      <c r="C45" s="757" t="s">
        <v>527</v>
      </c>
      <c r="D45" s="471">
        <f>14948+1044+3461</f>
        <v>19453</v>
      </c>
      <c r="E45" s="471">
        <v>3206</v>
      </c>
      <c r="F45" s="471">
        <f>4036+282+934</f>
        <v>5252</v>
      </c>
      <c r="G45" s="471">
        <v>0</v>
      </c>
      <c r="H45" s="471">
        <v>0</v>
      </c>
      <c r="I45" s="471">
        <v>0</v>
      </c>
      <c r="J45" s="471">
        <v>0</v>
      </c>
      <c r="K45" s="471">
        <v>0</v>
      </c>
      <c r="L45" s="471">
        <v>682</v>
      </c>
      <c r="M45" s="471">
        <v>0</v>
      </c>
      <c r="N45" s="471">
        <v>88</v>
      </c>
      <c r="O45" s="471">
        <v>0</v>
      </c>
      <c r="P45" s="471">
        <v>0</v>
      </c>
      <c r="Q45" s="471">
        <f>AH45-R45</f>
        <v>40889</v>
      </c>
      <c r="R45" s="471">
        <f>SUM(D45:O45)-E45</f>
        <v>25475</v>
      </c>
      <c r="S45" s="473">
        <f>Q45+R45</f>
        <v>66364</v>
      </c>
      <c r="T45" s="1417"/>
      <c r="U45" s="756" t="s">
        <v>303</v>
      </c>
      <c r="V45" s="757" t="s">
        <v>527</v>
      </c>
      <c r="W45" s="471">
        <f>27788+301+312+102+308+116+636+1243+50</f>
        <v>30856</v>
      </c>
      <c r="X45" s="471">
        <f>7355+81+84+28+83+31+171+336+14</f>
        <v>8183</v>
      </c>
      <c r="Y45" s="471">
        <f>19684+770+1326+613+537+4395</f>
        <v>27325</v>
      </c>
      <c r="Z45" s="471">
        <v>3783</v>
      </c>
      <c r="AA45" s="471"/>
      <c r="AB45" s="471">
        <v>0</v>
      </c>
      <c r="AC45" s="471">
        <v>0</v>
      </c>
      <c r="AD45" s="471">
        <v>0</v>
      </c>
      <c r="AE45" s="471">
        <v>0</v>
      </c>
      <c r="AF45" s="471">
        <v>0</v>
      </c>
      <c r="AG45" s="471"/>
      <c r="AH45" s="473">
        <f>SUM(W45:AF45)-Z45</f>
        <v>66364</v>
      </c>
      <c r="AJ45" s="484"/>
    </row>
    <row r="46" spans="1:36" ht="12.75" customHeight="1">
      <c r="A46" s="1417"/>
      <c r="B46" s="756" t="s">
        <v>303</v>
      </c>
      <c r="C46" s="757" t="s">
        <v>321</v>
      </c>
      <c r="D46" s="471">
        <f>19+3853+15600</f>
        <v>19472</v>
      </c>
      <c r="E46" s="471">
        <v>3411</v>
      </c>
      <c r="F46" s="471">
        <v>5252</v>
      </c>
      <c r="G46" s="471"/>
      <c r="H46" s="471">
        <v>0</v>
      </c>
      <c r="I46" s="471">
        <v>0</v>
      </c>
      <c r="J46" s="471">
        <v>0</v>
      </c>
      <c r="K46" s="471">
        <v>0</v>
      </c>
      <c r="L46" s="471">
        <v>682</v>
      </c>
      <c r="M46" s="471">
        <v>0</v>
      </c>
      <c r="N46" s="471">
        <v>88</v>
      </c>
      <c r="O46" s="471">
        <v>0</v>
      </c>
      <c r="P46" s="471">
        <v>0</v>
      </c>
      <c r="Q46" s="471">
        <v>40836</v>
      </c>
      <c r="R46" s="471">
        <f>SUM(D46:O46)-E46</f>
        <v>25494</v>
      </c>
      <c r="S46" s="473">
        <f>Q46+R46</f>
        <v>66330</v>
      </c>
      <c r="T46" s="1417"/>
      <c r="U46" s="756" t="s">
        <v>303</v>
      </c>
      <c r="V46" s="757" t="s">
        <v>321</v>
      </c>
      <c r="W46" s="471">
        <v>30333</v>
      </c>
      <c r="X46" s="471">
        <v>7508</v>
      </c>
      <c r="Y46" s="471">
        <v>26574</v>
      </c>
      <c r="Z46" s="471">
        <v>3783</v>
      </c>
      <c r="AA46" s="471"/>
      <c r="AB46" s="471">
        <v>0</v>
      </c>
      <c r="AC46" s="471">
        <v>0</v>
      </c>
      <c r="AD46" s="471">
        <v>9</v>
      </c>
      <c r="AE46" s="471">
        <v>0</v>
      </c>
      <c r="AF46" s="471">
        <v>0</v>
      </c>
      <c r="AG46" s="471"/>
      <c r="AH46" s="473">
        <f>SUM(W46:AF46)-Z46</f>
        <v>64424</v>
      </c>
      <c r="AJ46" s="484"/>
    </row>
    <row r="47" spans="1:36" ht="12.75">
      <c r="A47" s="1417" t="s">
        <v>189</v>
      </c>
      <c r="B47" s="756" t="s">
        <v>303</v>
      </c>
      <c r="C47" s="757" t="s">
        <v>873</v>
      </c>
      <c r="D47" s="471">
        <v>5037</v>
      </c>
      <c r="E47" s="471">
        <v>4797</v>
      </c>
      <c r="F47" s="471">
        <v>1360</v>
      </c>
      <c r="G47" s="471">
        <v>0</v>
      </c>
      <c r="H47" s="471">
        <v>0</v>
      </c>
      <c r="I47" s="471">
        <v>0</v>
      </c>
      <c r="J47" s="471">
        <v>0</v>
      </c>
      <c r="K47" s="471">
        <v>0</v>
      </c>
      <c r="L47" s="471">
        <v>0</v>
      </c>
      <c r="M47" s="471">
        <v>0</v>
      </c>
      <c r="N47" s="471">
        <v>0</v>
      </c>
      <c r="O47" s="471">
        <v>0</v>
      </c>
      <c r="P47" s="471">
        <v>0</v>
      </c>
      <c r="Q47" s="471">
        <f t="shared" si="0"/>
        <v>43414</v>
      </c>
      <c r="R47" s="471">
        <f t="shared" si="1"/>
        <v>6397</v>
      </c>
      <c r="S47" s="473">
        <f t="shared" si="2"/>
        <v>49811</v>
      </c>
      <c r="T47" s="1417" t="s">
        <v>189</v>
      </c>
      <c r="U47" s="756" t="s">
        <v>303</v>
      </c>
      <c r="V47" s="757" t="s">
        <v>873</v>
      </c>
      <c r="W47" s="471">
        <v>29641</v>
      </c>
      <c r="X47" s="471">
        <v>7879</v>
      </c>
      <c r="Y47" s="471">
        <v>12291</v>
      </c>
      <c r="Z47" s="471">
        <v>6318</v>
      </c>
      <c r="AA47" s="471"/>
      <c r="AB47" s="471">
        <v>0</v>
      </c>
      <c r="AC47" s="471">
        <v>0</v>
      </c>
      <c r="AD47" s="471">
        <v>0</v>
      </c>
      <c r="AE47" s="471">
        <v>0</v>
      </c>
      <c r="AF47" s="471">
        <v>0</v>
      </c>
      <c r="AG47" s="471"/>
      <c r="AH47" s="473">
        <f t="shared" si="3"/>
        <v>49811</v>
      </c>
      <c r="AJ47" s="484">
        <v>49811</v>
      </c>
    </row>
    <row r="48" spans="1:36" ht="12.75">
      <c r="A48" s="1417"/>
      <c r="B48" s="756" t="s">
        <v>303</v>
      </c>
      <c r="C48" s="757" t="s">
        <v>304</v>
      </c>
      <c r="D48" s="471">
        <v>5037</v>
      </c>
      <c r="E48" s="471">
        <v>4797</v>
      </c>
      <c r="F48" s="471">
        <v>1360</v>
      </c>
      <c r="G48" s="471">
        <v>0</v>
      </c>
      <c r="H48" s="471">
        <v>0</v>
      </c>
      <c r="I48" s="471">
        <v>0</v>
      </c>
      <c r="J48" s="471">
        <v>0</v>
      </c>
      <c r="K48" s="471">
        <v>0</v>
      </c>
      <c r="L48" s="471">
        <v>0</v>
      </c>
      <c r="M48" s="471">
        <v>0</v>
      </c>
      <c r="N48" s="471">
        <v>0</v>
      </c>
      <c r="O48" s="471">
        <v>0</v>
      </c>
      <c r="P48" s="471">
        <v>0</v>
      </c>
      <c r="Q48" s="471">
        <f t="shared" si="0"/>
        <v>43414</v>
      </c>
      <c r="R48" s="471">
        <f t="shared" si="1"/>
        <v>6397</v>
      </c>
      <c r="S48" s="473">
        <f t="shared" si="2"/>
        <v>49811</v>
      </c>
      <c r="T48" s="1417"/>
      <c r="U48" s="756" t="s">
        <v>303</v>
      </c>
      <c r="V48" s="757" t="s">
        <v>304</v>
      </c>
      <c r="W48" s="471">
        <v>29641</v>
      </c>
      <c r="X48" s="471">
        <v>7879</v>
      </c>
      <c r="Y48" s="471">
        <v>12291</v>
      </c>
      <c r="Z48" s="471">
        <v>6318</v>
      </c>
      <c r="AA48" s="471"/>
      <c r="AB48" s="471">
        <v>0</v>
      </c>
      <c r="AC48" s="471">
        <v>0</v>
      </c>
      <c r="AD48" s="471">
        <v>0</v>
      </c>
      <c r="AE48" s="471">
        <v>0</v>
      </c>
      <c r="AF48" s="471">
        <v>0</v>
      </c>
      <c r="AG48" s="471"/>
      <c r="AH48" s="473">
        <f t="shared" si="3"/>
        <v>49811</v>
      </c>
      <c r="AJ48" s="484">
        <v>49811</v>
      </c>
    </row>
    <row r="49" spans="1:36" ht="12.75">
      <c r="A49" s="1417"/>
      <c r="B49" s="756" t="s">
        <v>303</v>
      </c>
      <c r="C49" s="757" t="s">
        <v>305</v>
      </c>
      <c r="D49" s="471">
        <v>5037</v>
      </c>
      <c r="E49" s="471">
        <v>4797</v>
      </c>
      <c r="F49" s="471">
        <v>1360</v>
      </c>
      <c r="G49" s="471">
        <v>0</v>
      </c>
      <c r="H49" s="471">
        <v>0</v>
      </c>
      <c r="I49" s="471">
        <v>0</v>
      </c>
      <c r="J49" s="471">
        <f>70+1576-285</f>
        <v>1361</v>
      </c>
      <c r="K49" s="471">
        <v>285</v>
      </c>
      <c r="L49" s="471">
        <v>19</v>
      </c>
      <c r="M49" s="471">
        <v>0</v>
      </c>
      <c r="N49" s="471">
        <v>474</v>
      </c>
      <c r="O49" s="471">
        <v>0</v>
      </c>
      <c r="P49" s="471">
        <v>0</v>
      </c>
      <c r="Q49" s="471">
        <f t="shared" si="0"/>
        <v>43991</v>
      </c>
      <c r="R49" s="471">
        <f t="shared" si="1"/>
        <v>8536</v>
      </c>
      <c r="S49" s="473">
        <f t="shared" si="2"/>
        <v>52527</v>
      </c>
      <c r="T49" s="1417"/>
      <c r="U49" s="756" t="s">
        <v>303</v>
      </c>
      <c r="V49" s="757" t="s">
        <v>305</v>
      </c>
      <c r="W49" s="471">
        <f>29641+55+217+659+375</f>
        <v>30947</v>
      </c>
      <c r="X49" s="471">
        <f>7879+15-1+16+102</f>
        <v>8011</v>
      </c>
      <c r="Y49" s="471">
        <f>12291+100+277+616</f>
        <v>13284</v>
      </c>
      <c r="Z49" s="471">
        <v>6318</v>
      </c>
      <c r="AA49" s="471"/>
      <c r="AB49" s="471">
        <v>0</v>
      </c>
      <c r="AC49" s="471">
        <v>0</v>
      </c>
      <c r="AD49" s="471">
        <v>0</v>
      </c>
      <c r="AE49" s="471">
        <v>285</v>
      </c>
      <c r="AF49" s="471">
        <v>0</v>
      </c>
      <c r="AG49" s="471"/>
      <c r="AH49" s="473">
        <f t="shared" si="3"/>
        <v>52527</v>
      </c>
      <c r="AJ49" s="484">
        <v>49811</v>
      </c>
    </row>
    <row r="50" spans="1:36" ht="12.75">
      <c r="A50" s="1417"/>
      <c r="B50" s="756" t="s">
        <v>303</v>
      </c>
      <c r="C50" s="757" t="s">
        <v>306</v>
      </c>
      <c r="D50" s="471">
        <v>5037</v>
      </c>
      <c r="E50" s="471">
        <v>4797</v>
      </c>
      <c r="F50" s="471">
        <v>1360</v>
      </c>
      <c r="G50" s="471">
        <v>0</v>
      </c>
      <c r="H50" s="471">
        <v>0</v>
      </c>
      <c r="I50" s="471">
        <v>0</v>
      </c>
      <c r="J50" s="471">
        <f>70+1576-285</f>
        <v>1361</v>
      </c>
      <c r="K50" s="471">
        <v>285</v>
      </c>
      <c r="L50" s="471">
        <v>19</v>
      </c>
      <c r="M50" s="471">
        <v>0</v>
      </c>
      <c r="N50" s="471">
        <v>474</v>
      </c>
      <c r="O50" s="471">
        <v>0</v>
      </c>
      <c r="P50" s="471">
        <v>0</v>
      </c>
      <c r="Q50" s="471">
        <f t="shared" si="0"/>
        <v>44444</v>
      </c>
      <c r="R50" s="471">
        <f t="shared" si="1"/>
        <v>8536</v>
      </c>
      <c r="S50" s="473">
        <f t="shared" si="2"/>
        <v>52980</v>
      </c>
      <c r="T50" s="1417"/>
      <c r="U50" s="756" t="s">
        <v>303</v>
      </c>
      <c r="V50" s="757" t="s">
        <v>306</v>
      </c>
      <c r="W50" s="471">
        <f>29641+55+217+659+375+357</f>
        <v>31304</v>
      </c>
      <c r="X50" s="471">
        <f>7879+15-1+16+102+96</f>
        <v>8107</v>
      </c>
      <c r="Y50" s="471">
        <f>12291+100+277+616</f>
        <v>13284</v>
      </c>
      <c r="Z50" s="471">
        <v>6318</v>
      </c>
      <c r="AA50" s="471"/>
      <c r="AB50" s="471">
        <v>0</v>
      </c>
      <c r="AC50" s="471">
        <v>0</v>
      </c>
      <c r="AD50" s="471">
        <v>0</v>
      </c>
      <c r="AE50" s="471">
        <v>285</v>
      </c>
      <c r="AF50" s="471">
        <v>0</v>
      </c>
      <c r="AG50" s="471"/>
      <c r="AH50" s="473">
        <f t="shared" si="3"/>
        <v>52980</v>
      </c>
      <c r="AJ50" s="484"/>
    </row>
    <row r="51" spans="1:36" ht="12.75">
      <c r="A51" s="1417"/>
      <c r="B51" s="756" t="s">
        <v>303</v>
      </c>
      <c r="C51" s="757" t="s">
        <v>307</v>
      </c>
      <c r="D51" s="471">
        <f>5037</f>
        <v>5037</v>
      </c>
      <c r="E51" s="471">
        <v>4797</v>
      </c>
      <c r="F51" s="471">
        <v>1360</v>
      </c>
      <c r="G51" s="471">
        <v>0</v>
      </c>
      <c r="H51" s="471">
        <v>0</v>
      </c>
      <c r="I51" s="471">
        <v>0</v>
      </c>
      <c r="J51" s="471">
        <f>70+1576-285</f>
        <v>1361</v>
      </c>
      <c r="K51" s="471">
        <v>285</v>
      </c>
      <c r="L51" s="471">
        <v>19</v>
      </c>
      <c r="M51" s="471">
        <v>0</v>
      </c>
      <c r="N51" s="471">
        <v>474</v>
      </c>
      <c r="O51" s="471">
        <v>0</v>
      </c>
      <c r="P51" s="471">
        <v>0</v>
      </c>
      <c r="Q51" s="471">
        <f>AH51-R51</f>
        <v>48315</v>
      </c>
      <c r="R51" s="471">
        <f>SUM(D51:O51)-E51</f>
        <v>8536</v>
      </c>
      <c r="S51" s="473">
        <f>Q51+R51</f>
        <v>56851</v>
      </c>
      <c r="T51" s="1417"/>
      <c r="U51" s="756" t="s">
        <v>303</v>
      </c>
      <c r="V51" s="757" t="s">
        <v>307</v>
      </c>
      <c r="W51" s="471">
        <f>29641+55+217+659+375+357+106+269-468+602+2072</f>
        <v>33885</v>
      </c>
      <c r="X51" s="471">
        <f>7879+15-1+16+102+96+28+72+163+559</f>
        <v>8929</v>
      </c>
      <c r="Y51" s="471">
        <f>12291+100+277+616+468</f>
        <v>13752</v>
      </c>
      <c r="Z51" s="471">
        <v>6318</v>
      </c>
      <c r="AA51" s="471"/>
      <c r="AB51" s="471">
        <v>0</v>
      </c>
      <c r="AC51" s="471">
        <v>0</v>
      </c>
      <c r="AD51" s="471">
        <v>0</v>
      </c>
      <c r="AE51" s="471">
        <v>285</v>
      </c>
      <c r="AF51" s="471">
        <v>0</v>
      </c>
      <c r="AG51" s="471"/>
      <c r="AH51" s="473">
        <f>SUM(W51:AF51)-Z51</f>
        <v>56851</v>
      </c>
      <c r="AJ51" s="484"/>
    </row>
    <row r="52" spans="1:36" ht="12.75">
      <c r="A52" s="1417"/>
      <c r="B52" s="756" t="s">
        <v>303</v>
      </c>
      <c r="C52" s="757" t="s">
        <v>308</v>
      </c>
      <c r="D52" s="471">
        <f>5037</f>
        <v>5037</v>
      </c>
      <c r="E52" s="471">
        <v>4797</v>
      </c>
      <c r="F52" s="471">
        <v>1360</v>
      </c>
      <c r="G52" s="471">
        <v>0</v>
      </c>
      <c r="H52" s="471">
        <v>0</v>
      </c>
      <c r="I52" s="471">
        <v>0</v>
      </c>
      <c r="J52" s="471">
        <f>70+1576-285</f>
        <v>1361</v>
      </c>
      <c r="K52" s="471">
        <v>285</v>
      </c>
      <c r="L52" s="471">
        <v>19</v>
      </c>
      <c r="M52" s="471">
        <v>0</v>
      </c>
      <c r="N52" s="471">
        <v>474</v>
      </c>
      <c r="O52" s="471">
        <v>0</v>
      </c>
      <c r="P52" s="471">
        <v>0</v>
      </c>
      <c r="Q52" s="471">
        <f>AH52-R52</f>
        <v>48347</v>
      </c>
      <c r="R52" s="471">
        <f>SUM(D52:O52)-E52</f>
        <v>8536</v>
      </c>
      <c r="S52" s="473">
        <f>Q52+R52</f>
        <v>56883</v>
      </c>
      <c r="T52" s="1417"/>
      <c r="U52" s="756" t="s">
        <v>303</v>
      </c>
      <c r="V52" s="757" t="s">
        <v>308</v>
      </c>
      <c r="W52" s="471">
        <f>29641+55+217+659+375+357+106+269-468+602+2072+25</f>
        <v>33910</v>
      </c>
      <c r="X52" s="471">
        <f>7879+15-1+16+102+96+28+72+163+559+7</f>
        <v>8936</v>
      </c>
      <c r="Y52" s="471">
        <f>12291+100+277+616+468</f>
        <v>13752</v>
      </c>
      <c r="Z52" s="471">
        <v>6318</v>
      </c>
      <c r="AA52" s="471"/>
      <c r="AB52" s="471">
        <v>0</v>
      </c>
      <c r="AC52" s="471">
        <v>0</v>
      </c>
      <c r="AD52" s="471">
        <v>0</v>
      </c>
      <c r="AE52" s="471">
        <v>285</v>
      </c>
      <c r="AF52" s="471">
        <v>0</v>
      </c>
      <c r="AG52" s="471"/>
      <c r="AH52" s="473">
        <f>SUM(W52:AF52)-Z52</f>
        <v>56883</v>
      </c>
      <c r="AJ52" s="484"/>
    </row>
    <row r="53" spans="1:36" ht="12.75">
      <c r="A53" s="1417"/>
      <c r="B53" s="756" t="s">
        <v>303</v>
      </c>
      <c r="C53" s="757" t="s">
        <v>527</v>
      </c>
      <c r="D53" s="471">
        <f>5037</f>
        <v>5037</v>
      </c>
      <c r="E53" s="471">
        <v>4797</v>
      </c>
      <c r="F53" s="471">
        <v>1360</v>
      </c>
      <c r="G53" s="471">
        <v>0</v>
      </c>
      <c r="H53" s="471">
        <v>0</v>
      </c>
      <c r="I53" s="471">
        <v>0</v>
      </c>
      <c r="J53" s="471">
        <f>70+1576-285</f>
        <v>1361</v>
      </c>
      <c r="K53" s="471">
        <v>285</v>
      </c>
      <c r="L53" s="471">
        <v>19</v>
      </c>
      <c r="M53" s="471">
        <v>0</v>
      </c>
      <c r="N53" s="471">
        <v>474</v>
      </c>
      <c r="O53" s="471">
        <v>0</v>
      </c>
      <c r="P53" s="471">
        <v>0</v>
      </c>
      <c r="Q53" s="471">
        <f>AH53-R53</f>
        <v>48347</v>
      </c>
      <c r="R53" s="471">
        <f>SUM(D53:O53)-E53</f>
        <v>8536</v>
      </c>
      <c r="S53" s="473">
        <f>Q53+R53</f>
        <v>56883</v>
      </c>
      <c r="T53" s="1417"/>
      <c r="U53" s="756" t="s">
        <v>303</v>
      </c>
      <c r="V53" s="757" t="s">
        <v>527</v>
      </c>
      <c r="W53" s="471">
        <f>29641+55+217+659+375+357+106+269-468+602+2072+25</f>
        <v>33910</v>
      </c>
      <c r="X53" s="471">
        <f>7879+15-1+16+102+96+28+72+163+559+7</f>
        <v>8936</v>
      </c>
      <c r="Y53" s="471">
        <f>12291+100+277+616+468</f>
        <v>13752</v>
      </c>
      <c r="Z53" s="471">
        <v>6318</v>
      </c>
      <c r="AA53" s="471"/>
      <c r="AB53" s="471">
        <v>0</v>
      </c>
      <c r="AC53" s="471">
        <v>0</v>
      </c>
      <c r="AD53" s="471">
        <v>0</v>
      </c>
      <c r="AE53" s="471">
        <v>285</v>
      </c>
      <c r="AF53" s="471">
        <v>0</v>
      </c>
      <c r="AG53" s="471"/>
      <c r="AH53" s="473">
        <f>SUM(W53:AF53)-Z53</f>
        <v>56883</v>
      </c>
      <c r="AJ53" s="484"/>
    </row>
    <row r="54" spans="1:36" ht="12" customHeight="1">
      <c r="A54" s="1417"/>
      <c r="B54" s="756" t="s">
        <v>303</v>
      </c>
      <c r="C54" s="757" t="s">
        <v>321</v>
      </c>
      <c r="D54" s="471">
        <f>16+4785</f>
        <v>4801</v>
      </c>
      <c r="E54" s="471">
        <v>4455</v>
      </c>
      <c r="F54" s="471">
        <v>1292</v>
      </c>
      <c r="G54" s="471"/>
      <c r="H54" s="471">
        <v>0</v>
      </c>
      <c r="I54" s="471">
        <v>0</v>
      </c>
      <c r="J54" s="471">
        <f>469+70</f>
        <v>539</v>
      </c>
      <c r="K54" s="471">
        <v>0</v>
      </c>
      <c r="L54" s="471">
        <v>19</v>
      </c>
      <c r="M54" s="471">
        <v>0</v>
      </c>
      <c r="N54" s="471">
        <v>474</v>
      </c>
      <c r="O54" s="471">
        <v>0</v>
      </c>
      <c r="P54" s="471">
        <v>0</v>
      </c>
      <c r="Q54" s="471">
        <v>47960</v>
      </c>
      <c r="R54" s="471">
        <f>SUM(D54:O54)-E54</f>
        <v>7125</v>
      </c>
      <c r="S54" s="473">
        <f>Q54+R54</f>
        <v>55085</v>
      </c>
      <c r="T54" s="1417"/>
      <c r="U54" s="756" t="s">
        <v>303</v>
      </c>
      <c r="V54" s="757" t="s">
        <v>321</v>
      </c>
      <c r="W54" s="471">
        <v>33039</v>
      </c>
      <c r="X54" s="471">
        <v>8302</v>
      </c>
      <c r="Y54" s="471">
        <v>13656</v>
      </c>
      <c r="Z54" s="471">
        <v>6318</v>
      </c>
      <c r="AA54" s="471"/>
      <c r="AB54" s="471">
        <v>0</v>
      </c>
      <c r="AC54" s="471">
        <v>0</v>
      </c>
      <c r="AD54" s="471">
        <v>-10</v>
      </c>
      <c r="AE54" s="471">
        <v>0</v>
      </c>
      <c r="AF54" s="471">
        <v>0</v>
      </c>
      <c r="AG54" s="471"/>
      <c r="AH54" s="473">
        <f>SUM(W54:AF54)-Z54</f>
        <v>54987</v>
      </c>
      <c r="AJ54" s="484"/>
    </row>
    <row r="55" spans="1:36" ht="12.75">
      <c r="A55" s="1417" t="s">
        <v>190</v>
      </c>
      <c r="B55" s="756" t="s">
        <v>303</v>
      </c>
      <c r="C55" s="757" t="s">
        <v>873</v>
      </c>
      <c r="D55" s="471">
        <v>1187</v>
      </c>
      <c r="E55" s="471">
        <v>1136</v>
      </c>
      <c r="F55" s="471">
        <v>320</v>
      </c>
      <c r="G55" s="471">
        <v>0</v>
      </c>
      <c r="H55" s="471">
        <v>0</v>
      </c>
      <c r="I55" s="471">
        <v>0</v>
      </c>
      <c r="J55" s="471">
        <v>0</v>
      </c>
      <c r="K55" s="471">
        <v>0</v>
      </c>
      <c r="L55" s="471">
        <v>0</v>
      </c>
      <c r="M55" s="471">
        <v>0</v>
      </c>
      <c r="N55" s="471">
        <v>0</v>
      </c>
      <c r="O55" s="471">
        <v>0</v>
      </c>
      <c r="P55" s="471">
        <v>0</v>
      </c>
      <c r="Q55" s="471">
        <f t="shared" si="0"/>
        <v>12216</v>
      </c>
      <c r="R55" s="471">
        <f t="shared" si="1"/>
        <v>1507</v>
      </c>
      <c r="S55" s="473">
        <f t="shared" si="2"/>
        <v>13723</v>
      </c>
      <c r="T55" s="1417" t="s">
        <v>190</v>
      </c>
      <c r="U55" s="756" t="s">
        <v>303</v>
      </c>
      <c r="V55" s="757" t="s">
        <v>873</v>
      </c>
      <c r="W55" s="471">
        <v>7980</v>
      </c>
      <c r="X55" s="471">
        <v>2151</v>
      </c>
      <c r="Y55" s="471">
        <v>3592</v>
      </c>
      <c r="Z55" s="471">
        <v>1344</v>
      </c>
      <c r="AA55" s="471"/>
      <c r="AB55" s="471">
        <v>0</v>
      </c>
      <c r="AC55" s="471">
        <v>0</v>
      </c>
      <c r="AD55" s="471">
        <v>0</v>
      </c>
      <c r="AE55" s="471">
        <v>0</v>
      </c>
      <c r="AF55" s="471">
        <v>0</v>
      </c>
      <c r="AG55" s="471"/>
      <c r="AH55" s="473">
        <f t="shared" si="3"/>
        <v>13723</v>
      </c>
      <c r="AJ55" s="484">
        <v>13723</v>
      </c>
    </row>
    <row r="56" spans="1:36" ht="12.75">
      <c r="A56" s="1417"/>
      <c r="B56" s="756" t="s">
        <v>303</v>
      </c>
      <c r="C56" s="757" t="s">
        <v>304</v>
      </c>
      <c r="D56" s="471">
        <v>1187</v>
      </c>
      <c r="E56" s="471">
        <v>1136</v>
      </c>
      <c r="F56" s="471">
        <v>320</v>
      </c>
      <c r="G56" s="471">
        <v>0</v>
      </c>
      <c r="H56" s="471">
        <v>0</v>
      </c>
      <c r="I56" s="471">
        <v>0</v>
      </c>
      <c r="J56" s="471">
        <v>0</v>
      </c>
      <c r="K56" s="471">
        <v>0</v>
      </c>
      <c r="L56" s="471">
        <v>0</v>
      </c>
      <c r="M56" s="471">
        <v>0</v>
      </c>
      <c r="N56" s="471">
        <v>0</v>
      </c>
      <c r="O56" s="471">
        <v>0</v>
      </c>
      <c r="P56" s="471">
        <v>0</v>
      </c>
      <c r="Q56" s="471">
        <f t="shared" si="0"/>
        <v>12216</v>
      </c>
      <c r="R56" s="471">
        <f t="shared" si="1"/>
        <v>1507</v>
      </c>
      <c r="S56" s="473">
        <f t="shared" si="2"/>
        <v>13723</v>
      </c>
      <c r="T56" s="1417"/>
      <c r="U56" s="756" t="s">
        <v>303</v>
      </c>
      <c r="V56" s="757" t="s">
        <v>304</v>
      </c>
      <c r="W56" s="471">
        <v>7980</v>
      </c>
      <c r="X56" s="471">
        <v>2151</v>
      </c>
      <c r="Y56" s="471">
        <v>3592</v>
      </c>
      <c r="Z56" s="471">
        <v>1344</v>
      </c>
      <c r="AA56" s="471"/>
      <c r="AB56" s="471">
        <v>0</v>
      </c>
      <c r="AC56" s="471">
        <v>0</v>
      </c>
      <c r="AD56" s="471">
        <v>0</v>
      </c>
      <c r="AE56" s="471">
        <v>0</v>
      </c>
      <c r="AF56" s="471">
        <v>0</v>
      </c>
      <c r="AG56" s="471"/>
      <c r="AH56" s="473">
        <f t="shared" si="3"/>
        <v>13723</v>
      </c>
      <c r="AJ56" s="484">
        <v>13723</v>
      </c>
    </row>
    <row r="57" spans="1:36" ht="12.75">
      <c r="A57" s="1417"/>
      <c r="B57" s="756" t="s">
        <v>303</v>
      </c>
      <c r="C57" s="757" t="s">
        <v>305</v>
      </c>
      <c r="D57" s="471">
        <v>1187</v>
      </c>
      <c r="E57" s="471">
        <v>1136</v>
      </c>
      <c r="F57" s="471">
        <v>320</v>
      </c>
      <c r="G57" s="471">
        <v>0</v>
      </c>
      <c r="H57" s="471">
        <v>0</v>
      </c>
      <c r="I57" s="471">
        <v>0</v>
      </c>
      <c r="J57" s="471">
        <v>0</v>
      </c>
      <c r="K57" s="471">
        <v>0</v>
      </c>
      <c r="L57" s="471">
        <v>0</v>
      </c>
      <c r="M57" s="471">
        <v>0</v>
      </c>
      <c r="N57" s="471">
        <v>128</v>
      </c>
      <c r="O57" s="471">
        <v>0</v>
      </c>
      <c r="P57" s="471">
        <v>0</v>
      </c>
      <c r="Q57" s="471">
        <f t="shared" si="0"/>
        <v>12295</v>
      </c>
      <c r="R57" s="471">
        <f t="shared" si="1"/>
        <v>1635</v>
      </c>
      <c r="S57" s="473">
        <f t="shared" si="2"/>
        <v>13930</v>
      </c>
      <c r="T57" s="1417"/>
      <c r="U57" s="756" t="s">
        <v>303</v>
      </c>
      <c r="V57" s="757" t="s">
        <v>305</v>
      </c>
      <c r="W57" s="471">
        <f>7980+62</f>
        <v>8042</v>
      </c>
      <c r="X57" s="471">
        <f>2151+17</f>
        <v>2168</v>
      </c>
      <c r="Y57" s="471">
        <f>3592+128</f>
        <v>3720</v>
      </c>
      <c r="Z57" s="471">
        <v>1344</v>
      </c>
      <c r="AA57" s="471"/>
      <c r="AB57" s="471">
        <v>0</v>
      </c>
      <c r="AC57" s="471">
        <v>0</v>
      </c>
      <c r="AD57" s="471">
        <v>0</v>
      </c>
      <c r="AE57" s="471">
        <v>0</v>
      </c>
      <c r="AF57" s="471">
        <v>0</v>
      </c>
      <c r="AG57" s="471"/>
      <c r="AH57" s="473">
        <f t="shared" si="3"/>
        <v>13930</v>
      </c>
      <c r="AJ57" s="484">
        <v>13723</v>
      </c>
    </row>
    <row r="58" spans="1:36" ht="12.75">
      <c r="A58" s="1417"/>
      <c r="B58" s="756" t="s">
        <v>303</v>
      </c>
      <c r="C58" s="757" t="s">
        <v>306</v>
      </c>
      <c r="D58" s="471">
        <v>1187</v>
      </c>
      <c r="E58" s="471">
        <v>1136</v>
      </c>
      <c r="F58" s="471">
        <v>320</v>
      </c>
      <c r="G58" s="471">
        <v>0</v>
      </c>
      <c r="H58" s="471">
        <v>0</v>
      </c>
      <c r="I58" s="471">
        <v>0</v>
      </c>
      <c r="J58" s="471">
        <v>0</v>
      </c>
      <c r="K58" s="471">
        <v>0</v>
      </c>
      <c r="L58" s="471">
        <v>0</v>
      </c>
      <c r="M58" s="471">
        <v>0</v>
      </c>
      <c r="N58" s="471">
        <v>128</v>
      </c>
      <c r="O58" s="471">
        <v>0</v>
      </c>
      <c r="P58" s="471">
        <v>0</v>
      </c>
      <c r="Q58" s="471">
        <f t="shared" si="0"/>
        <v>12446</v>
      </c>
      <c r="R58" s="471">
        <f t="shared" si="1"/>
        <v>1635</v>
      </c>
      <c r="S58" s="473">
        <f t="shared" si="2"/>
        <v>14081</v>
      </c>
      <c r="T58" s="1417"/>
      <c r="U58" s="756" t="s">
        <v>303</v>
      </c>
      <c r="V58" s="757" t="s">
        <v>306</v>
      </c>
      <c r="W58" s="471">
        <f>7980+62+63</f>
        <v>8105</v>
      </c>
      <c r="X58" s="471">
        <f>2151+17+18</f>
        <v>2186</v>
      </c>
      <c r="Y58" s="471">
        <f>3592+128+70</f>
        <v>3790</v>
      </c>
      <c r="Z58" s="471">
        <v>1344</v>
      </c>
      <c r="AA58" s="471"/>
      <c r="AB58" s="471">
        <v>0</v>
      </c>
      <c r="AC58" s="471">
        <v>0</v>
      </c>
      <c r="AD58" s="471">
        <v>0</v>
      </c>
      <c r="AE58" s="471">
        <v>0</v>
      </c>
      <c r="AF58" s="471">
        <v>0</v>
      </c>
      <c r="AG58" s="471"/>
      <c r="AH58" s="473">
        <f t="shared" si="3"/>
        <v>14081</v>
      </c>
      <c r="AJ58" s="484"/>
    </row>
    <row r="59" spans="1:36" ht="12.75">
      <c r="A59" s="1417"/>
      <c r="B59" s="756" t="s">
        <v>303</v>
      </c>
      <c r="C59" s="757" t="s">
        <v>307</v>
      </c>
      <c r="D59" s="471">
        <v>1187</v>
      </c>
      <c r="E59" s="471">
        <v>1136</v>
      </c>
      <c r="F59" s="471">
        <v>320</v>
      </c>
      <c r="G59" s="471">
        <v>0</v>
      </c>
      <c r="H59" s="471">
        <v>0</v>
      </c>
      <c r="I59" s="471">
        <v>0</v>
      </c>
      <c r="J59" s="471">
        <v>0</v>
      </c>
      <c r="K59" s="471">
        <v>0</v>
      </c>
      <c r="L59" s="471">
        <v>0</v>
      </c>
      <c r="M59" s="471">
        <v>0</v>
      </c>
      <c r="N59" s="471">
        <v>128</v>
      </c>
      <c r="O59" s="471">
        <v>0</v>
      </c>
      <c r="P59" s="471">
        <v>0</v>
      </c>
      <c r="Q59" s="471">
        <f>AH59-R59</f>
        <v>13154</v>
      </c>
      <c r="R59" s="471">
        <f>SUM(D59:O59)-E59</f>
        <v>1635</v>
      </c>
      <c r="S59" s="473">
        <f>Q59+R59</f>
        <v>14789</v>
      </c>
      <c r="T59" s="1417"/>
      <c r="U59" s="756" t="s">
        <v>303</v>
      </c>
      <c r="V59" s="757" t="s">
        <v>307</v>
      </c>
      <c r="W59" s="471">
        <f>7980+62+63+13+66+64+414</f>
        <v>8662</v>
      </c>
      <c r="X59" s="471">
        <f>2151+17+18+4+18+17+112</f>
        <v>2337</v>
      </c>
      <c r="Y59" s="471">
        <f>3592+128+70</f>
        <v>3790</v>
      </c>
      <c r="Z59" s="471">
        <v>1344</v>
      </c>
      <c r="AA59" s="471"/>
      <c r="AB59" s="471">
        <v>0</v>
      </c>
      <c r="AC59" s="471">
        <v>0</v>
      </c>
      <c r="AD59" s="471">
        <v>0</v>
      </c>
      <c r="AE59" s="471">
        <v>0</v>
      </c>
      <c r="AF59" s="471">
        <v>0</v>
      </c>
      <c r="AG59" s="471"/>
      <c r="AH59" s="473">
        <f>SUM(W59:AF59)-Z59</f>
        <v>14789</v>
      </c>
      <c r="AJ59" s="484"/>
    </row>
    <row r="60" spans="1:36" ht="12.75">
      <c r="A60" s="1417"/>
      <c r="B60" s="756" t="s">
        <v>303</v>
      </c>
      <c r="C60" s="757" t="s">
        <v>308</v>
      </c>
      <c r="D60" s="471">
        <v>1187</v>
      </c>
      <c r="E60" s="471">
        <v>1136</v>
      </c>
      <c r="F60" s="471">
        <v>320</v>
      </c>
      <c r="G60" s="471">
        <v>0</v>
      </c>
      <c r="H60" s="471">
        <v>0</v>
      </c>
      <c r="I60" s="471">
        <v>0</v>
      </c>
      <c r="J60" s="471">
        <v>0</v>
      </c>
      <c r="K60" s="471">
        <v>0</v>
      </c>
      <c r="L60" s="471">
        <v>0</v>
      </c>
      <c r="M60" s="471">
        <v>0</v>
      </c>
      <c r="N60" s="471">
        <v>128</v>
      </c>
      <c r="O60" s="471">
        <v>0</v>
      </c>
      <c r="P60" s="471">
        <v>0</v>
      </c>
      <c r="Q60" s="471">
        <f>AH60-R60</f>
        <v>13262</v>
      </c>
      <c r="R60" s="471">
        <f>SUM(D60:O60)-E60</f>
        <v>1635</v>
      </c>
      <c r="S60" s="473">
        <f>Q60+R60</f>
        <v>14897</v>
      </c>
      <c r="T60" s="1417"/>
      <c r="U60" s="756" t="s">
        <v>303</v>
      </c>
      <c r="V60" s="757" t="s">
        <v>308</v>
      </c>
      <c r="W60" s="471">
        <f>7980+62+63+13+66+64+414+13+59</f>
        <v>8734</v>
      </c>
      <c r="X60" s="471">
        <f>2151+17+18+4+18+17+112+4+32</f>
        <v>2373</v>
      </c>
      <c r="Y60" s="471">
        <f>3592+128+70</f>
        <v>3790</v>
      </c>
      <c r="Z60" s="471">
        <v>1344</v>
      </c>
      <c r="AA60" s="471"/>
      <c r="AB60" s="471">
        <v>0</v>
      </c>
      <c r="AC60" s="471">
        <v>0</v>
      </c>
      <c r="AD60" s="471">
        <v>0</v>
      </c>
      <c r="AE60" s="471">
        <v>0</v>
      </c>
      <c r="AF60" s="471">
        <v>0</v>
      </c>
      <c r="AG60" s="471"/>
      <c r="AH60" s="473">
        <f>SUM(W60:AF60)-Z60</f>
        <v>14897</v>
      </c>
      <c r="AJ60" s="484"/>
    </row>
    <row r="61" spans="1:36" ht="12.75">
      <c r="A61" s="1417"/>
      <c r="B61" s="756" t="s">
        <v>303</v>
      </c>
      <c r="C61" s="757" t="s">
        <v>527</v>
      </c>
      <c r="D61" s="471">
        <v>1187</v>
      </c>
      <c r="E61" s="471">
        <v>1136</v>
      </c>
      <c r="F61" s="471">
        <v>320</v>
      </c>
      <c r="G61" s="471">
        <v>0</v>
      </c>
      <c r="H61" s="471">
        <v>0</v>
      </c>
      <c r="I61" s="471">
        <v>0</v>
      </c>
      <c r="J61" s="471">
        <v>0</v>
      </c>
      <c r="K61" s="471">
        <v>0</v>
      </c>
      <c r="L61" s="471">
        <v>0</v>
      </c>
      <c r="M61" s="471">
        <v>0</v>
      </c>
      <c r="N61" s="471">
        <v>128</v>
      </c>
      <c r="O61" s="471">
        <v>0</v>
      </c>
      <c r="P61" s="471">
        <v>0</v>
      </c>
      <c r="Q61" s="471">
        <f>AH61-R61</f>
        <v>13262</v>
      </c>
      <c r="R61" s="471">
        <f>SUM(D61:O61)-E61</f>
        <v>1635</v>
      </c>
      <c r="S61" s="473">
        <f>Q61+R61</f>
        <v>14897</v>
      </c>
      <c r="T61" s="1417"/>
      <c r="U61" s="756" t="s">
        <v>303</v>
      </c>
      <c r="V61" s="757" t="s">
        <v>527</v>
      </c>
      <c r="W61" s="471">
        <f>7980+62+63+13+66+64+414+13+59</f>
        <v>8734</v>
      </c>
      <c r="X61" s="471">
        <f>2151+17+18+4+18+17+112+4+32</f>
        <v>2373</v>
      </c>
      <c r="Y61" s="471">
        <f>3592+128+70</f>
        <v>3790</v>
      </c>
      <c r="Z61" s="471">
        <v>1344</v>
      </c>
      <c r="AA61" s="471"/>
      <c r="AB61" s="471">
        <v>0</v>
      </c>
      <c r="AC61" s="471">
        <v>0</v>
      </c>
      <c r="AD61" s="471">
        <v>0</v>
      </c>
      <c r="AE61" s="471">
        <v>0</v>
      </c>
      <c r="AF61" s="471">
        <v>0</v>
      </c>
      <c r="AG61" s="471"/>
      <c r="AH61" s="473">
        <f>SUM(W61:AF61)-Z61</f>
        <v>14897</v>
      </c>
      <c r="AJ61" s="484"/>
    </row>
    <row r="62" spans="1:36" ht="12.75">
      <c r="A62" s="1417"/>
      <c r="B62" s="756" t="s">
        <v>303</v>
      </c>
      <c r="C62" s="757" t="s">
        <v>321</v>
      </c>
      <c r="D62" s="471">
        <f>3+985</f>
        <v>988</v>
      </c>
      <c r="E62" s="471">
        <v>985</v>
      </c>
      <c r="F62" s="471">
        <v>266</v>
      </c>
      <c r="G62" s="471"/>
      <c r="H62" s="471">
        <v>0</v>
      </c>
      <c r="I62" s="471">
        <v>0</v>
      </c>
      <c r="J62" s="471">
        <v>0</v>
      </c>
      <c r="K62" s="471">
        <v>0</v>
      </c>
      <c r="L62" s="471">
        <v>0</v>
      </c>
      <c r="M62" s="471">
        <v>0</v>
      </c>
      <c r="N62" s="471">
        <v>128</v>
      </c>
      <c r="O62" s="471">
        <v>0</v>
      </c>
      <c r="P62" s="471">
        <v>0</v>
      </c>
      <c r="Q62" s="471">
        <v>13004</v>
      </c>
      <c r="R62" s="471">
        <f>SUM(D62:O62)-E62</f>
        <v>1382</v>
      </c>
      <c r="S62" s="473">
        <f>Q62+R62</f>
        <v>14386</v>
      </c>
      <c r="T62" s="1417"/>
      <c r="U62" s="756" t="s">
        <v>303</v>
      </c>
      <c r="V62" s="757" t="s">
        <v>321</v>
      </c>
      <c r="W62" s="471">
        <v>8720</v>
      </c>
      <c r="X62" s="471">
        <v>2370</v>
      </c>
      <c r="Y62" s="471">
        <v>3243</v>
      </c>
      <c r="Z62" s="471">
        <v>1254</v>
      </c>
      <c r="AA62" s="471"/>
      <c r="AB62" s="471">
        <v>0</v>
      </c>
      <c r="AC62" s="471">
        <v>0</v>
      </c>
      <c r="AD62" s="471">
        <v>0</v>
      </c>
      <c r="AE62" s="471">
        <v>0</v>
      </c>
      <c r="AF62" s="471">
        <v>0</v>
      </c>
      <c r="AG62" s="471"/>
      <c r="AH62" s="473">
        <f>SUM(W62:AF62)-Z62</f>
        <v>14333</v>
      </c>
      <c r="AJ62" s="484"/>
    </row>
    <row r="63" spans="1:36" ht="12.75">
      <c r="A63" s="1417" t="s">
        <v>310</v>
      </c>
      <c r="B63" s="756" t="s">
        <v>303</v>
      </c>
      <c r="C63" s="757" t="s">
        <v>873</v>
      </c>
      <c r="D63" s="471">
        <v>7597</v>
      </c>
      <c r="E63" s="471">
        <v>4337</v>
      </c>
      <c r="F63" s="471">
        <v>1511</v>
      </c>
      <c r="G63" s="471">
        <v>0</v>
      </c>
      <c r="H63" s="471">
        <v>0</v>
      </c>
      <c r="I63" s="471">
        <v>0</v>
      </c>
      <c r="J63" s="471">
        <v>0</v>
      </c>
      <c r="K63" s="471">
        <v>0</v>
      </c>
      <c r="L63" s="471">
        <v>0</v>
      </c>
      <c r="M63" s="471">
        <v>0</v>
      </c>
      <c r="N63" s="471">
        <v>0</v>
      </c>
      <c r="O63" s="471">
        <v>0</v>
      </c>
      <c r="P63" s="471">
        <v>0</v>
      </c>
      <c r="Q63" s="471">
        <f t="shared" si="0"/>
        <v>73196</v>
      </c>
      <c r="R63" s="471">
        <f t="shared" si="1"/>
        <v>9108</v>
      </c>
      <c r="S63" s="473">
        <f t="shared" si="2"/>
        <v>82304</v>
      </c>
      <c r="T63" s="1417" t="s">
        <v>310</v>
      </c>
      <c r="U63" s="756" t="s">
        <v>303</v>
      </c>
      <c r="V63" s="757" t="s">
        <v>873</v>
      </c>
      <c r="W63" s="471">
        <v>48424</v>
      </c>
      <c r="X63" s="471">
        <v>12831</v>
      </c>
      <c r="Y63" s="471">
        <v>21049</v>
      </c>
      <c r="Z63" s="471">
        <v>5504</v>
      </c>
      <c r="AA63" s="471"/>
      <c r="AB63" s="471">
        <v>0</v>
      </c>
      <c r="AC63" s="471">
        <v>0</v>
      </c>
      <c r="AD63" s="471">
        <v>0</v>
      </c>
      <c r="AE63" s="471">
        <v>0</v>
      </c>
      <c r="AF63" s="471">
        <v>0</v>
      </c>
      <c r="AG63" s="471"/>
      <c r="AH63" s="473">
        <f t="shared" si="3"/>
        <v>82304</v>
      </c>
      <c r="AJ63" s="484">
        <v>82304</v>
      </c>
    </row>
    <row r="64" spans="1:36" ht="12.75">
      <c r="A64" s="1417"/>
      <c r="B64" s="756" t="s">
        <v>303</v>
      </c>
      <c r="C64" s="757" t="s">
        <v>304</v>
      </c>
      <c r="D64" s="471">
        <v>7597</v>
      </c>
      <c r="E64" s="471">
        <v>4337</v>
      </c>
      <c r="F64" s="471">
        <v>1511</v>
      </c>
      <c r="G64" s="471">
        <v>0</v>
      </c>
      <c r="H64" s="471">
        <v>0</v>
      </c>
      <c r="I64" s="471">
        <v>0</v>
      </c>
      <c r="J64" s="471">
        <v>0</v>
      </c>
      <c r="K64" s="471">
        <v>0</v>
      </c>
      <c r="L64" s="471"/>
      <c r="M64" s="471">
        <v>0</v>
      </c>
      <c r="N64" s="471">
        <v>0</v>
      </c>
      <c r="O64" s="471">
        <v>0</v>
      </c>
      <c r="P64" s="471">
        <v>0</v>
      </c>
      <c r="Q64" s="471">
        <f t="shared" si="0"/>
        <v>73196</v>
      </c>
      <c r="R64" s="471">
        <f t="shared" si="1"/>
        <v>9108</v>
      </c>
      <c r="S64" s="473">
        <f t="shared" si="2"/>
        <v>82304</v>
      </c>
      <c r="T64" s="1417"/>
      <c r="U64" s="756" t="s">
        <v>303</v>
      </c>
      <c r="V64" s="757" t="s">
        <v>304</v>
      </c>
      <c r="W64" s="471">
        <v>48424</v>
      </c>
      <c r="X64" s="471">
        <v>12831</v>
      </c>
      <c r="Y64" s="471">
        <v>21049</v>
      </c>
      <c r="Z64" s="471">
        <v>5504</v>
      </c>
      <c r="AA64" s="471"/>
      <c r="AB64" s="471">
        <v>0</v>
      </c>
      <c r="AC64" s="471">
        <v>0</v>
      </c>
      <c r="AD64" s="471">
        <v>0</v>
      </c>
      <c r="AE64" s="471">
        <v>0</v>
      </c>
      <c r="AF64" s="471">
        <v>0</v>
      </c>
      <c r="AG64" s="471"/>
      <c r="AH64" s="473">
        <f t="shared" si="3"/>
        <v>82304</v>
      </c>
      <c r="AJ64" s="484">
        <v>82304</v>
      </c>
    </row>
    <row r="65" spans="1:36" ht="12.75">
      <c r="A65" s="1417"/>
      <c r="B65" s="756" t="s">
        <v>303</v>
      </c>
      <c r="C65" s="757" t="s">
        <v>305</v>
      </c>
      <c r="D65" s="471">
        <v>7597</v>
      </c>
      <c r="E65" s="471">
        <v>4337</v>
      </c>
      <c r="F65" s="471">
        <v>1511</v>
      </c>
      <c r="G65" s="471">
        <v>0</v>
      </c>
      <c r="H65" s="471">
        <v>0</v>
      </c>
      <c r="I65" s="471">
        <v>0</v>
      </c>
      <c r="J65" s="471">
        <v>0</v>
      </c>
      <c r="K65" s="471">
        <v>0</v>
      </c>
      <c r="L65" s="471">
        <v>1283</v>
      </c>
      <c r="M65" s="471">
        <v>0</v>
      </c>
      <c r="N65" s="471">
        <v>217</v>
      </c>
      <c r="O65" s="471">
        <v>0</v>
      </c>
      <c r="P65" s="471">
        <v>0</v>
      </c>
      <c r="Q65" s="471">
        <f t="shared" si="0"/>
        <v>73985</v>
      </c>
      <c r="R65" s="471">
        <f t="shared" si="1"/>
        <v>10608</v>
      </c>
      <c r="S65" s="473">
        <f t="shared" si="2"/>
        <v>84593</v>
      </c>
      <c r="T65" s="1417"/>
      <c r="U65" s="756" t="s">
        <v>303</v>
      </c>
      <c r="V65" s="757" t="s">
        <v>305</v>
      </c>
      <c r="W65" s="471">
        <f>48424-68+621</f>
        <v>48977</v>
      </c>
      <c r="X65" s="471">
        <f>12831-25+168</f>
        <v>12974</v>
      </c>
      <c r="Y65" s="471">
        <f>21049+1593</f>
        <v>22642</v>
      </c>
      <c r="Z65" s="471">
        <v>5504</v>
      </c>
      <c r="AA65" s="471"/>
      <c r="AB65" s="471">
        <v>0</v>
      </c>
      <c r="AC65" s="471">
        <v>0</v>
      </c>
      <c r="AD65" s="471">
        <v>0</v>
      </c>
      <c r="AE65" s="471">
        <v>0</v>
      </c>
      <c r="AF65" s="471">
        <v>0</v>
      </c>
      <c r="AG65" s="471"/>
      <c r="AH65" s="473">
        <f t="shared" si="3"/>
        <v>84593</v>
      </c>
      <c r="AJ65" s="484">
        <v>82304</v>
      </c>
    </row>
    <row r="66" spans="1:36" ht="12.75">
      <c r="A66" s="1417"/>
      <c r="B66" s="756" t="s">
        <v>303</v>
      </c>
      <c r="C66" s="757" t="s">
        <v>306</v>
      </c>
      <c r="D66" s="471">
        <f>7597+1500</f>
        <v>9097</v>
      </c>
      <c r="E66" s="471">
        <v>4337</v>
      </c>
      <c r="F66" s="471">
        <v>1511</v>
      </c>
      <c r="G66" s="471">
        <v>0</v>
      </c>
      <c r="H66" s="471">
        <v>4</v>
      </c>
      <c r="I66" s="471">
        <v>0</v>
      </c>
      <c r="J66" s="471">
        <v>0</v>
      </c>
      <c r="K66" s="471">
        <v>0</v>
      </c>
      <c r="L66" s="471">
        <v>1283</v>
      </c>
      <c r="M66" s="471">
        <v>0</v>
      </c>
      <c r="N66" s="471">
        <v>217</v>
      </c>
      <c r="O66" s="471">
        <v>0</v>
      </c>
      <c r="P66" s="471">
        <v>0</v>
      </c>
      <c r="Q66" s="471">
        <f>AH66-R66</f>
        <v>74785</v>
      </c>
      <c r="R66" s="471">
        <f t="shared" si="1"/>
        <v>12112</v>
      </c>
      <c r="S66" s="473">
        <f t="shared" si="2"/>
        <v>86897</v>
      </c>
      <c r="T66" s="1417"/>
      <c r="U66" s="756" t="s">
        <v>303</v>
      </c>
      <c r="V66" s="757" t="s">
        <v>306</v>
      </c>
      <c r="W66" s="471">
        <f>48424-68+621+630</f>
        <v>49607</v>
      </c>
      <c r="X66" s="471">
        <f>12831-25+168+170</f>
        <v>13144</v>
      </c>
      <c r="Y66" s="471">
        <f>21049+1593+4</f>
        <v>22646</v>
      </c>
      <c r="Z66" s="471">
        <v>5504</v>
      </c>
      <c r="AA66" s="471"/>
      <c r="AB66" s="471">
        <v>0</v>
      </c>
      <c r="AC66" s="471">
        <v>0</v>
      </c>
      <c r="AD66" s="471">
        <v>0</v>
      </c>
      <c r="AE66" s="471">
        <v>880</v>
      </c>
      <c r="AF66" s="471">
        <v>620</v>
      </c>
      <c r="AG66" s="471"/>
      <c r="AH66" s="473">
        <f>SUM(W66:AF66)-Z66</f>
        <v>86897</v>
      </c>
      <c r="AJ66" s="484"/>
    </row>
    <row r="67" spans="1:36" ht="12.75">
      <c r="A67" s="1417"/>
      <c r="B67" s="756" t="s">
        <v>303</v>
      </c>
      <c r="C67" s="757" t="s">
        <v>307</v>
      </c>
      <c r="D67" s="471">
        <f>7597+1500+1200+5704</f>
        <v>16001</v>
      </c>
      <c r="E67" s="471">
        <v>4337</v>
      </c>
      <c r="F67" s="471">
        <f>1511+1541</f>
        <v>3052</v>
      </c>
      <c r="G67" s="471">
        <v>0</v>
      </c>
      <c r="H67" s="471">
        <v>4</v>
      </c>
      <c r="I67" s="471">
        <v>0</v>
      </c>
      <c r="J67" s="471">
        <v>0</v>
      </c>
      <c r="K67" s="471">
        <v>0</v>
      </c>
      <c r="L67" s="471">
        <v>1283</v>
      </c>
      <c r="M67" s="471">
        <v>0</v>
      </c>
      <c r="N67" s="471">
        <v>217</v>
      </c>
      <c r="O67" s="471">
        <v>0</v>
      </c>
      <c r="P67" s="471">
        <v>0</v>
      </c>
      <c r="Q67" s="471">
        <f>AH67-R67</f>
        <v>76102</v>
      </c>
      <c r="R67" s="471">
        <f>SUM(D67:O67)-E67</f>
        <v>20557</v>
      </c>
      <c r="S67" s="473">
        <f>Q67+R67</f>
        <v>96659</v>
      </c>
      <c r="T67" s="1417"/>
      <c r="U67" s="756" t="s">
        <v>303</v>
      </c>
      <c r="V67" s="757" t="s">
        <v>307</v>
      </c>
      <c r="W67" s="471">
        <f>48424-68+621+630+206+831</f>
        <v>50644</v>
      </c>
      <c r="X67" s="471">
        <f>12831-25+168+170+56+224</f>
        <v>13424</v>
      </c>
      <c r="Y67" s="471">
        <f>21049+1593+4+1200+7245+880+620</f>
        <v>32591</v>
      </c>
      <c r="Z67" s="471">
        <v>5504</v>
      </c>
      <c r="AA67" s="471"/>
      <c r="AB67" s="471">
        <v>0</v>
      </c>
      <c r="AC67" s="471">
        <v>0</v>
      </c>
      <c r="AD67" s="471">
        <v>0</v>
      </c>
      <c r="AE67" s="471">
        <f>880-880</f>
        <v>0</v>
      </c>
      <c r="AF67" s="471">
        <f>620-620</f>
        <v>0</v>
      </c>
      <c r="AG67" s="471"/>
      <c r="AH67" s="473">
        <f>SUM(W67:AF67)-Z67</f>
        <v>96659</v>
      </c>
      <c r="AJ67" s="484"/>
    </row>
    <row r="68" spans="1:36" ht="12.75">
      <c r="A68" s="1417"/>
      <c r="B68" s="756" t="s">
        <v>303</v>
      </c>
      <c r="C68" s="757" t="s">
        <v>308</v>
      </c>
      <c r="D68" s="471">
        <f>7597+1500+1200+5704+1373+1572</f>
        <v>18946</v>
      </c>
      <c r="E68" s="471">
        <v>4337</v>
      </c>
      <c r="F68" s="471">
        <f>1511+1541+370</f>
        <v>3422</v>
      </c>
      <c r="G68" s="471">
        <v>0</v>
      </c>
      <c r="H68" s="471">
        <v>4</v>
      </c>
      <c r="I68" s="471">
        <v>0</v>
      </c>
      <c r="J68" s="471">
        <v>49</v>
      </c>
      <c r="K68" s="471">
        <v>0</v>
      </c>
      <c r="L68" s="471">
        <v>1283</v>
      </c>
      <c r="M68" s="471">
        <v>0</v>
      </c>
      <c r="N68" s="471">
        <v>217</v>
      </c>
      <c r="O68" s="471">
        <v>0</v>
      </c>
      <c r="P68" s="471">
        <v>0</v>
      </c>
      <c r="Q68" s="471">
        <f>AH68-R68</f>
        <v>76359</v>
      </c>
      <c r="R68" s="471">
        <f>SUM(D68:O68)-E68</f>
        <v>23921</v>
      </c>
      <c r="S68" s="473">
        <f>Q68+R68</f>
        <v>100280</v>
      </c>
      <c r="T68" s="1417"/>
      <c r="U68" s="756" t="s">
        <v>303</v>
      </c>
      <c r="V68" s="757" t="s">
        <v>308</v>
      </c>
      <c r="W68" s="471">
        <f>48424-68+621+630+206+831+39+202</f>
        <v>50885</v>
      </c>
      <c r="X68" s="471">
        <f>12831-25+168+170+56+224+10+55</f>
        <v>13489</v>
      </c>
      <c r="Y68" s="471">
        <f>21049+1593+4+1200+7245+880+620+1572+1743</f>
        <v>35906</v>
      </c>
      <c r="Z68" s="471">
        <v>5504</v>
      </c>
      <c r="AA68" s="471"/>
      <c r="AB68" s="471">
        <v>0</v>
      </c>
      <c r="AC68" s="471">
        <v>0</v>
      </c>
      <c r="AD68" s="471">
        <v>0</v>
      </c>
      <c r="AE68" s="471">
        <f>880-880</f>
        <v>0</v>
      </c>
      <c r="AF68" s="471">
        <f>620-620</f>
        <v>0</v>
      </c>
      <c r="AG68" s="471"/>
      <c r="AH68" s="473">
        <f>SUM(W68:AF68)-Z68</f>
        <v>100280</v>
      </c>
      <c r="AJ68" s="484"/>
    </row>
    <row r="69" spans="1:36" ht="12.75">
      <c r="A69" s="1417"/>
      <c r="B69" s="756" t="s">
        <v>303</v>
      </c>
      <c r="C69" s="757" t="s">
        <v>527</v>
      </c>
      <c r="D69" s="471">
        <f>7597+1500+1200+5704+1373+1572</f>
        <v>18946</v>
      </c>
      <c r="E69" s="471">
        <v>4337</v>
      </c>
      <c r="F69" s="471">
        <f>1511+1541+370</f>
        <v>3422</v>
      </c>
      <c r="G69" s="471">
        <v>0</v>
      </c>
      <c r="H69" s="471">
        <v>4</v>
      </c>
      <c r="I69" s="471">
        <v>0</v>
      </c>
      <c r="J69" s="471">
        <v>49</v>
      </c>
      <c r="K69" s="471">
        <v>0</v>
      </c>
      <c r="L69" s="471">
        <v>1283</v>
      </c>
      <c r="M69" s="471">
        <v>0</v>
      </c>
      <c r="N69" s="471">
        <v>217</v>
      </c>
      <c r="O69" s="471">
        <v>0</v>
      </c>
      <c r="P69" s="471">
        <v>0</v>
      </c>
      <c r="Q69" s="471">
        <f>AH69-R69</f>
        <v>76359</v>
      </c>
      <c r="R69" s="471">
        <f>SUM(D69:O69)-E69</f>
        <v>23921</v>
      </c>
      <c r="S69" s="473">
        <f>Q69+R69</f>
        <v>100280</v>
      </c>
      <c r="T69" s="1417"/>
      <c r="U69" s="756" t="s">
        <v>303</v>
      </c>
      <c r="V69" s="757" t="s">
        <v>527</v>
      </c>
      <c r="W69" s="471">
        <f>48424-68+621+630+206+831+39+202</f>
        <v>50885</v>
      </c>
      <c r="X69" s="471">
        <f>12831-25+168+170+56+224+10+55</f>
        <v>13489</v>
      </c>
      <c r="Y69" s="471">
        <f>21049+1593+4+1200+7245+880+620+1572+1743</f>
        <v>35906</v>
      </c>
      <c r="Z69" s="471">
        <v>5504</v>
      </c>
      <c r="AA69" s="471"/>
      <c r="AB69" s="471">
        <v>0</v>
      </c>
      <c r="AC69" s="471">
        <v>0</v>
      </c>
      <c r="AD69" s="471">
        <v>0</v>
      </c>
      <c r="AE69" s="471">
        <f>880-880</f>
        <v>0</v>
      </c>
      <c r="AF69" s="471">
        <f>620-620</f>
        <v>0</v>
      </c>
      <c r="AG69" s="471"/>
      <c r="AH69" s="473">
        <f>SUM(W69:AF69)-Z69</f>
        <v>100280</v>
      </c>
      <c r="AJ69" s="484"/>
    </row>
    <row r="70" spans="1:36" ht="12.75">
      <c r="A70" s="1417"/>
      <c r="B70" s="756" t="s">
        <v>303</v>
      </c>
      <c r="C70" s="757" t="s">
        <v>321</v>
      </c>
      <c r="D70" s="471">
        <f>9+9991+8955</f>
        <v>18955</v>
      </c>
      <c r="E70" s="471">
        <v>4337</v>
      </c>
      <c r="F70" s="471">
        <v>3422</v>
      </c>
      <c r="G70" s="471"/>
      <c r="H70" s="471">
        <v>4</v>
      </c>
      <c r="I70" s="471"/>
      <c r="J70" s="471">
        <v>49</v>
      </c>
      <c r="K70" s="471"/>
      <c r="L70" s="471">
        <v>1283</v>
      </c>
      <c r="M70" s="471"/>
      <c r="N70" s="471">
        <v>217</v>
      </c>
      <c r="O70" s="471">
        <v>0</v>
      </c>
      <c r="P70" s="471">
        <v>79</v>
      </c>
      <c r="Q70" s="471">
        <v>70325</v>
      </c>
      <c r="R70" s="471">
        <f>SUM(D70:P70)-E70</f>
        <v>24009</v>
      </c>
      <c r="S70" s="473">
        <f>Q70+R70</f>
        <v>94334</v>
      </c>
      <c r="T70" s="1417"/>
      <c r="U70" s="756" t="s">
        <v>303</v>
      </c>
      <c r="V70" s="757" t="s">
        <v>321</v>
      </c>
      <c r="W70" s="471">
        <v>48983</v>
      </c>
      <c r="X70" s="471">
        <v>12116</v>
      </c>
      <c r="Y70" s="471">
        <v>32891</v>
      </c>
      <c r="Z70" s="471">
        <v>5504</v>
      </c>
      <c r="AA70" s="471"/>
      <c r="AB70" s="471">
        <v>0</v>
      </c>
      <c r="AC70" s="471">
        <v>0</v>
      </c>
      <c r="AD70" s="471">
        <v>-148</v>
      </c>
      <c r="AE70" s="471">
        <f>880-880</f>
        <v>0</v>
      </c>
      <c r="AF70" s="471">
        <f>620-620</f>
        <v>0</v>
      </c>
      <c r="AG70" s="471"/>
      <c r="AH70" s="473">
        <f>SUM(W70:AF70)-Z70</f>
        <v>93842</v>
      </c>
      <c r="AJ70" s="484"/>
    </row>
    <row r="71" spans="1:36" ht="12.75">
      <c r="A71" s="1417" t="s">
        <v>311</v>
      </c>
      <c r="B71" s="756" t="s">
        <v>303</v>
      </c>
      <c r="C71" s="757" t="s">
        <v>873</v>
      </c>
      <c r="D71" s="471">
        <v>15620</v>
      </c>
      <c r="E71" s="471">
        <v>12242</v>
      </c>
      <c r="F71" s="471">
        <v>4019</v>
      </c>
      <c r="G71" s="471">
        <v>0</v>
      </c>
      <c r="H71" s="471">
        <v>1240</v>
      </c>
      <c r="I71" s="471">
        <v>0</v>
      </c>
      <c r="J71" s="471">
        <v>0</v>
      </c>
      <c r="K71" s="471">
        <v>0</v>
      </c>
      <c r="L71" s="471">
        <v>0</v>
      </c>
      <c r="M71" s="471">
        <v>0</v>
      </c>
      <c r="N71" s="471">
        <v>0</v>
      </c>
      <c r="O71" s="471">
        <v>0</v>
      </c>
      <c r="P71" s="471">
        <v>0</v>
      </c>
      <c r="Q71" s="471">
        <f t="shared" si="0"/>
        <v>67668</v>
      </c>
      <c r="R71" s="471">
        <f t="shared" si="1"/>
        <v>20879</v>
      </c>
      <c r="S71" s="473">
        <f aca="true" t="shared" si="4" ref="S71:S98">Q71+R71</f>
        <v>88547</v>
      </c>
      <c r="T71" s="1417" t="s">
        <v>311</v>
      </c>
      <c r="U71" s="756" t="s">
        <v>303</v>
      </c>
      <c r="V71" s="757" t="s">
        <v>873</v>
      </c>
      <c r="W71" s="471">
        <v>1320</v>
      </c>
      <c r="X71" s="471">
        <v>315</v>
      </c>
      <c r="Y71" s="471">
        <v>81912</v>
      </c>
      <c r="Z71" s="471">
        <v>38035</v>
      </c>
      <c r="AA71" s="471"/>
      <c r="AB71" s="471">
        <v>0</v>
      </c>
      <c r="AC71" s="471">
        <v>0</v>
      </c>
      <c r="AD71" s="471">
        <v>0</v>
      </c>
      <c r="AE71" s="471">
        <v>0</v>
      </c>
      <c r="AF71" s="471">
        <v>5000</v>
      </c>
      <c r="AG71" s="471"/>
      <c r="AH71" s="473">
        <f t="shared" si="3"/>
        <v>88547</v>
      </c>
      <c r="AJ71" s="484">
        <v>88547</v>
      </c>
    </row>
    <row r="72" spans="1:36" ht="12.75">
      <c r="A72" s="1417"/>
      <c r="B72" s="756" t="s">
        <v>303</v>
      </c>
      <c r="C72" s="757" t="s">
        <v>304</v>
      </c>
      <c r="D72" s="471">
        <v>15620</v>
      </c>
      <c r="E72" s="471">
        <v>12242</v>
      </c>
      <c r="F72" s="471">
        <v>4019</v>
      </c>
      <c r="G72" s="471">
        <v>0</v>
      </c>
      <c r="H72" s="471">
        <v>1240</v>
      </c>
      <c r="I72" s="471">
        <v>0</v>
      </c>
      <c r="J72" s="471">
        <v>0</v>
      </c>
      <c r="K72" s="471">
        <v>0</v>
      </c>
      <c r="L72" s="471">
        <v>0</v>
      </c>
      <c r="M72" s="471">
        <v>0</v>
      </c>
      <c r="N72" s="471">
        <v>0</v>
      </c>
      <c r="O72" s="471">
        <v>0</v>
      </c>
      <c r="P72" s="471">
        <v>0</v>
      </c>
      <c r="Q72" s="471">
        <f t="shared" si="0"/>
        <v>67668</v>
      </c>
      <c r="R72" s="471">
        <f t="shared" si="1"/>
        <v>20879</v>
      </c>
      <c r="S72" s="473">
        <f t="shared" si="4"/>
        <v>88547</v>
      </c>
      <c r="T72" s="1417"/>
      <c r="U72" s="756" t="s">
        <v>303</v>
      </c>
      <c r="V72" s="757" t="s">
        <v>304</v>
      </c>
      <c r="W72" s="471">
        <v>1320</v>
      </c>
      <c r="X72" s="471">
        <v>315</v>
      </c>
      <c r="Y72" s="471">
        <v>81912</v>
      </c>
      <c r="Z72" s="471">
        <v>38035</v>
      </c>
      <c r="AA72" s="471"/>
      <c r="AB72" s="471">
        <v>0</v>
      </c>
      <c r="AC72" s="471">
        <v>0</v>
      </c>
      <c r="AD72" s="471">
        <v>0</v>
      </c>
      <c r="AE72" s="471">
        <v>0</v>
      </c>
      <c r="AF72" s="471">
        <v>5000</v>
      </c>
      <c r="AG72" s="471"/>
      <c r="AH72" s="473">
        <f t="shared" si="3"/>
        <v>88547</v>
      </c>
      <c r="AJ72" s="484">
        <v>88547</v>
      </c>
    </row>
    <row r="73" spans="1:36" ht="12.75">
      <c r="A73" s="1417"/>
      <c r="B73" s="756" t="s">
        <v>303</v>
      </c>
      <c r="C73" s="757" t="s">
        <v>305</v>
      </c>
      <c r="D73" s="471">
        <v>15620</v>
      </c>
      <c r="E73" s="471">
        <v>12242</v>
      </c>
      <c r="F73" s="471">
        <v>4019</v>
      </c>
      <c r="G73" s="471">
        <v>0</v>
      </c>
      <c r="H73" s="471">
        <v>1240</v>
      </c>
      <c r="I73" s="471">
        <v>0</v>
      </c>
      <c r="J73" s="471">
        <v>0</v>
      </c>
      <c r="K73" s="471">
        <v>0</v>
      </c>
      <c r="L73" s="471">
        <f>4595-56-533-994</f>
        <v>3012</v>
      </c>
      <c r="M73" s="471">
        <v>0</v>
      </c>
      <c r="N73" s="471">
        <v>111</v>
      </c>
      <c r="O73" s="471">
        <v>0</v>
      </c>
      <c r="P73" s="471">
        <v>0</v>
      </c>
      <c r="Q73" s="471">
        <f t="shared" si="0"/>
        <v>68068</v>
      </c>
      <c r="R73" s="471">
        <f t="shared" si="1"/>
        <v>24002</v>
      </c>
      <c r="S73" s="473">
        <f t="shared" si="4"/>
        <v>92070</v>
      </c>
      <c r="T73" s="1417"/>
      <c r="U73" s="756" t="s">
        <v>303</v>
      </c>
      <c r="V73" s="757" t="s">
        <v>305</v>
      </c>
      <c r="W73" s="471">
        <f>1320+512</f>
        <v>1832</v>
      </c>
      <c r="X73" s="471">
        <f>315+145</f>
        <v>460</v>
      </c>
      <c r="Y73" s="471">
        <f>81912+400+4049-56-533-994</f>
        <v>84778</v>
      </c>
      <c r="Z73" s="471">
        <v>38035</v>
      </c>
      <c r="AA73" s="471"/>
      <c r="AB73" s="471">
        <v>0</v>
      </c>
      <c r="AC73" s="471">
        <v>0</v>
      </c>
      <c r="AD73" s="471">
        <v>0</v>
      </c>
      <c r="AE73" s="471">
        <v>0</v>
      </c>
      <c r="AF73" s="471">
        <v>5000</v>
      </c>
      <c r="AG73" s="471"/>
      <c r="AH73" s="473">
        <f t="shared" si="3"/>
        <v>92070</v>
      </c>
      <c r="AJ73" s="484">
        <v>88547</v>
      </c>
    </row>
    <row r="74" spans="1:36" ht="12.75">
      <c r="A74" s="1417"/>
      <c r="B74" s="756" t="s">
        <v>303</v>
      </c>
      <c r="C74" s="757" t="s">
        <v>306</v>
      </c>
      <c r="D74" s="471">
        <v>15620</v>
      </c>
      <c r="E74" s="471">
        <v>12242</v>
      </c>
      <c r="F74" s="471">
        <v>4019</v>
      </c>
      <c r="G74" s="471">
        <v>0</v>
      </c>
      <c r="H74" s="471">
        <v>1240</v>
      </c>
      <c r="I74" s="471">
        <v>0</v>
      </c>
      <c r="J74" s="471">
        <v>0</v>
      </c>
      <c r="K74" s="471">
        <v>0</v>
      </c>
      <c r="L74" s="471">
        <f>4595-56-533-994</f>
        <v>3012</v>
      </c>
      <c r="M74" s="471">
        <v>0</v>
      </c>
      <c r="N74" s="471">
        <v>111</v>
      </c>
      <c r="O74" s="471">
        <v>0</v>
      </c>
      <c r="P74" s="471">
        <v>0</v>
      </c>
      <c r="Q74" s="471">
        <f t="shared" si="0"/>
        <v>65512</v>
      </c>
      <c r="R74" s="471">
        <f t="shared" si="1"/>
        <v>24002</v>
      </c>
      <c r="S74" s="473">
        <f t="shared" si="4"/>
        <v>89514</v>
      </c>
      <c r="T74" s="1417"/>
      <c r="U74" s="756" t="s">
        <v>303</v>
      </c>
      <c r="V74" s="757" t="s">
        <v>306</v>
      </c>
      <c r="W74" s="471">
        <f>1320+512-270</f>
        <v>1562</v>
      </c>
      <c r="X74" s="471">
        <f>315+145-12-70-4</f>
        <v>374</v>
      </c>
      <c r="Y74" s="471">
        <f>81912+400+4049-56-533-994-300-1900</f>
        <v>82578</v>
      </c>
      <c r="Z74" s="471">
        <v>38035</v>
      </c>
      <c r="AA74" s="471"/>
      <c r="AB74" s="471">
        <v>0</v>
      </c>
      <c r="AC74" s="471">
        <v>0</v>
      </c>
      <c r="AD74" s="471">
        <v>0</v>
      </c>
      <c r="AE74" s="471">
        <v>0</v>
      </c>
      <c r="AF74" s="471">
        <v>5000</v>
      </c>
      <c r="AG74" s="471"/>
      <c r="AH74" s="473">
        <f t="shared" si="3"/>
        <v>89514</v>
      </c>
      <c r="AJ74" s="484"/>
    </row>
    <row r="75" spans="1:36" ht="12.75">
      <c r="A75" s="1417"/>
      <c r="B75" s="756" t="s">
        <v>303</v>
      </c>
      <c r="C75" s="757" t="s">
        <v>307</v>
      </c>
      <c r="D75" s="471">
        <v>15620</v>
      </c>
      <c r="E75" s="471">
        <v>12242</v>
      </c>
      <c r="F75" s="471">
        <v>4019</v>
      </c>
      <c r="G75" s="471">
        <v>0</v>
      </c>
      <c r="H75" s="471">
        <f>1240-281</f>
        <v>959</v>
      </c>
      <c r="I75" s="471">
        <v>0</v>
      </c>
      <c r="J75" s="471">
        <v>0</v>
      </c>
      <c r="K75" s="471">
        <v>0</v>
      </c>
      <c r="L75" s="471">
        <f>4595-56-533-994</f>
        <v>3012</v>
      </c>
      <c r="M75" s="471">
        <v>0</v>
      </c>
      <c r="N75" s="471">
        <v>111</v>
      </c>
      <c r="O75" s="471">
        <v>0</v>
      </c>
      <c r="P75" s="471">
        <v>0</v>
      </c>
      <c r="Q75" s="471">
        <f>AH75-R75</f>
        <v>67412</v>
      </c>
      <c r="R75" s="471">
        <f>SUM(D75:O75)-E75</f>
        <v>23721</v>
      </c>
      <c r="S75" s="473">
        <f>Q75+R75</f>
        <v>91133</v>
      </c>
      <c r="T75" s="1417"/>
      <c r="U75" s="756" t="s">
        <v>303</v>
      </c>
      <c r="V75" s="757" t="s">
        <v>307</v>
      </c>
      <c r="W75" s="471">
        <f>1320+512-270</f>
        <v>1562</v>
      </c>
      <c r="X75" s="471">
        <f>315+145-12-70-4</f>
        <v>374</v>
      </c>
      <c r="Y75" s="471">
        <f>81912+400+4049-56-533-994-300-1900+1900-281</f>
        <v>84197</v>
      </c>
      <c r="Z75" s="471">
        <v>38035</v>
      </c>
      <c r="AA75" s="471"/>
      <c r="AB75" s="471">
        <v>0</v>
      </c>
      <c r="AC75" s="471">
        <v>0</v>
      </c>
      <c r="AD75" s="471">
        <v>0</v>
      </c>
      <c r="AE75" s="471">
        <v>0</v>
      </c>
      <c r="AF75" s="471">
        <v>5000</v>
      </c>
      <c r="AG75" s="471"/>
      <c r="AH75" s="473">
        <f>SUM(W75:AF75)-Z75</f>
        <v>91133</v>
      </c>
      <c r="AJ75" s="484"/>
    </row>
    <row r="76" spans="1:36" ht="12.75">
      <c r="A76" s="1417"/>
      <c r="B76" s="756" t="s">
        <v>303</v>
      </c>
      <c r="C76" s="757" t="s">
        <v>308</v>
      </c>
      <c r="D76" s="471">
        <v>15620</v>
      </c>
      <c r="E76" s="471">
        <v>12242</v>
      </c>
      <c r="F76" s="471">
        <v>4019</v>
      </c>
      <c r="G76" s="471">
        <v>0</v>
      </c>
      <c r="H76" s="471">
        <f>1240-281</f>
        <v>959</v>
      </c>
      <c r="I76" s="471">
        <v>0</v>
      </c>
      <c r="J76" s="471">
        <v>0</v>
      </c>
      <c r="K76" s="471">
        <v>0</v>
      </c>
      <c r="L76" s="471">
        <f>4595-56-533-994</f>
        <v>3012</v>
      </c>
      <c r="M76" s="471">
        <v>0</v>
      </c>
      <c r="N76" s="471">
        <v>111</v>
      </c>
      <c r="O76" s="471">
        <v>0</v>
      </c>
      <c r="P76" s="471">
        <v>0</v>
      </c>
      <c r="Q76" s="471">
        <f>AH76-R76</f>
        <v>67067</v>
      </c>
      <c r="R76" s="471">
        <f>SUM(D76:O76)-E76</f>
        <v>23721</v>
      </c>
      <c r="S76" s="473">
        <f>Q76+R76</f>
        <v>90788</v>
      </c>
      <c r="T76" s="1417"/>
      <c r="U76" s="756" t="s">
        <v>303</v>
      </c>
      <c r="V76" s="757" t="s">
        <v>308</v>
      </c>
      <c r="W76" s="471">
        <f>1320+512-270</f>
        <v>1562</v>
      </c>
      <c r="X76" s="471">
        <f>315+145-12-70-4</f>
        <v>374</v>
      </c>
      <c r="Y76" s="471">
        <f>81912+400+4049-56-533-994-300-1900+1900-281-1063-345</f>
        <v>82789</v>
      </c>
      <c r="Z76" s="471">
        <v>38035</v>
      </c>
      <c r="AA76" s="471"/>
      <c r="AB76" s="471">
        <v>0</v>
      </c>
      <c r="AC76" s="471">
        <v>0</v>
      </c>
      <c r="AD76" s="471">
        <v>0</v>
      </c>
      <c r="AE76" s="471">
        <v>0</v>
      </c>
      <c r="AF76" s="471">
        <f>5000+1063</f>
        <v>6063</v>
      </c>
      <c r="AG76" s="471"/>
      <c r="AH76" s="473">
        <f>SUM(W76:AF76)-Z76</f>
        <v>90788</v>
      </c>
      <c r="AJ76" s="484"/>
    </row>
    <row r="77" spans="1:36" ht="12.75">
      <c r="A77" s="1417"/>
      <c r="B77" s="756" t="s">
        <v>303</v>
      </c>
      <c r="C77" s="757" t="s">
        <v>527</v>
      </c>
      <c r="D77" s="471">
        <v>15620</v>
      </c>
      <c r="E77" s="471">
        <v>12242</v>
      </c>
      <c r="F77" s="471">
        <v>4019</v>
      </c>
      <c r="G77" s="471">
        <v>0</v>
      </c>
      <c r="H77" s="471">
        <f>1240-281</f>
        <v>959</v>
      </c>
      <c r="I77" s="471">
        <v>0</v>
      </c>
      <c r="J77" s="471">
        <v>0</v>
      </c>
      <c r="K77" s="471">
        <v>0</v>
      </c>
      <c r="L77" s="471">
        <f>4595-56-533-994</f>
        <v>3012</v>
      </c>
      <c r="M77" s="471">
        <v>0</v>
      </c>
      <c r="N77" s="471">
        <v>111</v>
      </c>
      <c r="O77" s="471">
        <v>0</v>
      </c>
      <c r="P77" s="471">
        <v>0</v>
      </c>
      <c r="Q77" s="471">
        <f>AH77-R77</f>
        <v>67067</v>
      </c>
      <c r="R77" s="471">
        <f>SUM(D77:O77)-E77</f>
        <v>23721</v>
      </c>
      <c r="S77" s="473">
        <f>Q77+R77</f>
        <v>90788</v>
      </c>
      <c r="T77" s="1417"/>
      <c r="U77" s="756" t="s">
        <v>303</v>
      </c>
      <c r="V77" s="757" t="s">
        <v>527</v>
      </c>
      <c r="W77" s="471">
        <f>1320+512-270</f>
        <v>1562</v>
      </c>
      <c r="X77" s="471">
        <f>315+145-12-70-4</f>
        <v>374</v>
      </c>
      <c r="Y77" s="471">
        <f>81912+400+4049-56-533-994-300-1900+1900-281-1063-345</f>
        <v>82789</v>
      </c>
      <c r="Z77" s="471">
        <v>38035</v>
      </c>
      <c r="AA77" s="471"/>
      <c r="AB77" s="471">
        <v>0</v>
      </c>
      <c r="AC77" s="471">
        <v>0</v>
      </c>
      <c r="AD77" s="471">
        <v>0</v>
      </c>
      <c r="AE77" s="471">
        <v>0</v>
      </c>
      <c r="AF77" s="471">
        <f>5000+1063</f>
        <v>6063</v>
      </c>
      <c r="AG77" s="471"/>
      <c r="AH77" s="473">
        <f>SUM(W77:AF77)-Z77</f>
        <v>90788</v>
      </c>
      <c r="AJ77" s="484"/>
    </row>
    <row r="78" spans="1:36" ht="12.75">
      <c r="A78" s="1417"/>
      <c r="B78" s="756" t="s">
        <v>303</v>
      </c>
      <c r="C78" s="757" t="s">
        <v>321</v>
      </c>
      <c r="D78" s="471">
        <f>15385+18+4+1</f>
        <v>15408</v>
      </c>
      <c r="E78" s="471">
        <v>12242</v>
      </c>
      <c r="F78" s="471">
        <v>3826</v>
      </c>
      <c r="G78" s="471"/>
      <c r="H78" s="471">
        <v>959</v>
      </c>
      <c r="I78" s="471">
        <v>0</v>
      </c>
      <c r="J78" s="471">
        <v>0</v>
      </c>
      <c r="K78" s="471">
        <v>0</v>
      </c>
      <c r="L78" s="471">
        <v>3012</v>
      </c>
      <c r="M78" s="471">
        <v>0</v>
      </c>
      <c r="N78" s="471">
        <v>111</v>
      </c>
      <c r="O78" s="471">
        <v>0</v>
      </c>
      <c r="P78" s="471">
        <v>0</v>
      </c>
      <c r="Q78" s="471">
        <f>AH78-R78</f>
        <v>59242</v>
      </c>
      <c r="R78" s="471">
        <f>SUM(D78:O78)-E78</f>
        <v>23316</v>
      </c>
      <c r="S78" s="473">
        <f>Q78+R78</f>
        <v>82558</v>
      </c>
      <c r="T78" s="1417"/>
      <c r="U78" s="756" t="s">
        <v>303</v>
      </c>
      <c r="V78" s="757" t="s">
        <v>321</v>
      </c>
      <c r="W78" s="471">
        <v>1561</v>
      </c>
      <c r="X78" s="471">
        <v>374</v>
      </c>
      <c r="Y78" s="471">
        <f>74559+1</f>
        <v>74560</v>
      </c>
      <c r="Z78" s="471">
        <v>38035</v>
      </c>
      <c r="AA78" s="471"/>
      <c r="AB78" s="471">
        <v>0</v>
      </c>
      <c r="AC78" s="471">
        <v>0</v>
      </c>
      <c r="AD78" s="471">
        <v>0</v>
      </c>
      <c r="AE78" s="471"/>
      <c r="AF78" s="471">
        <v>6063</v>
      </c>
      <c r="AG78" s="471"/>
      <c r="AH78" s="473">
        <f>SUM(W78:AF78)-Z78</f>
        <v>82558</v>
      </c>
      <c r="AJ78" s="484"/>
    </row>
    <row r="79" spans="1:36" ht="12.75">
      <c r="A79" s="1417" t="s">
        <v>312</v>
      </c>
      <c r="B79" s="756" t="s">
        <v>303</v>
      </c>
      <c r="C79" s="757" t="s">
        <v>873</v>
      </c>
      <c r="D79" s="471">
        <v>0</v>
      </c>
      <c r="E79" s="471">
        <v>0</v>
      </c>
      <c r="F79" s="471">
        <v>0</v>
      </c>
      <c r="G79" s="471">
        <v>0</v>
      </c>
      <c r="H79" s="471">
        <v>0</v>
      </c>
      <c r="I79" s="471">
        <v>0</v>
      </c>
      <c r="J79" s="471">
        <v>0</v>
      </c>
      <c r="K79" s="471">
        <v>0</v>
      </c>
      <c r="L79" s="471">
        <v>0</v>
      </c>
      <c r="M79" s="471">
        <v>0</v>
      </c>
      <c r="N79" s="471">
        <v>0</v>
      </c>
      <c r="O79" s="471">
        <v>0</v>
      </c>
      <c r="P79" s="471">
        <v>0</v>
      </c>
      <c r="Q79" s="471">
        <f t="shared" si="0"/>
        <v>2220</v>
      </c>
      <c r="R79" s="471">
        <f t="shared" si="1"/>
        <v>0</v>
      </c>
      <c r="S79" s="473">
        <f t="shared" si="4"/>
        <v>2220</v>
      </c>
      <c r="T79" s="1417" t="s">
        <v>312</v>
      </c>
      <c r="U79" s="756" t="s">
        <v>303</v>
      </c>
      <c r="V79" s="757" t="s">
        <v>873</v>
      </c>
      <c r="W79" s="471">
        <v>0</v>
      </c>
      <c r="X79" s="471">
        <v>0</v>
      </c>
      <c r="Y79" s="471">
        <v>2220</v>
      </c>
      <c r="Z79" s="471">
        <v>0</v>
      </c>
      <c r="AA79" s="471"/>
      <c r="AB79" s="471">
        <v>0</v>
      </c>
      <c r="AC79" s="471">
        <v>0</v>
      </c>
      <c r="AD79" s="471">
        <v>0</v>
      </c>
      <c r="AE79" s="471">
        <v>0</v>
      </c>
      <c r="AF79" s="471">
        <v>0</v>
      </c>
      <c r="AG79" s="471"/>
      <c r="AH79" s="473">
        <f t="shared" si="3"/>
        <v>2220</v>
      </c>
      <c r="AJ79" s="484">
        <v>2220</v>
      </c>
    </row>
    <row r="80" spans="1:36" ht="12.75">
      <c r="A80" s="1417"/>
      <c r="B80" s="756" t="s">
        <v>303</v>
      </c>
      <c r="C80" s="757" t="s">
        <v>304</v>
      </c>
      <c r="D80" s="471">
        <v>0</v>
      </c>
      <c r="E80" s="471">
        <v>0</v>
      </c>
      <c r="F80" s="471">
        <v>0</v>
      </c>
      <c r="G80" s="471">
        <v>0</v>
      </c>
      <c r="H80" s="471">
        <v>0</v>
      </c>
      <c r="I80" s="471">
        <v>0</v>
      </c>
      <c r="J80" s="471">
        <v>0</v>
      </c>
      <c r="K80" s="471">
        <v>0</v>
      </c>
      <c r="L80" s="471">
        <v>0</v>
      </c>
      <c r="M80" s="471">
        <v>0</v>
      </c>
      <c r="N80" s="471">
        <v>0</v>
      </c>
      <c r="O80" s="471">
        <v>0</v>
      </c>
      <c r="P80" s="471">
        <v>0</v>
      </c>
      <c r="Q80" s="471">
        <f t="shared" si="0"/>
        <v>2220</v>
      </c>
      <c r="R80" s="471">
        <f t="shared" si="1"/>
        <v>0</v>
      </c>
      <c r="S80" s="473">
        <f t="shared" si="4"/>
        <v>2220</v>
      </c>
      <c r="T80" s="1417"/>
      <c r="U80" s="756" t="s">
        <v>303</v>
      </c>
      <c r="V80" s="757" t="s">
        <v>304</v>
      </c>
      <c r="W80" s="471">
        <v>0</v>
      </c>
      <c r="X80" s="471">
        <v>0</v>
      </c>
      <c r="Y80" s="471">
        <v>2220</v>
      </c>
      <c r="Z80" s="471">
        <v>0</v>
      </c>
      <c r="AA80" s="471"/>
      <c r="AB80" s="471">
        <v>0</v>
      </c>
      <c r="AC80" s="471">
        <v>0</v>
      </c>
      <c r="AD80" s="471">
        <v>0</v>
      </c>
      <c r="AE80" s="471">
        <v>0</v>
      </c>
      <c r="AF80" s="471">
        <v>0</v>
      </c>
      <c r="AG80" s="471"/>
      <c r="AH80" s="473">
        <f t="shared" si="3"/>
        <v>2220</v>
      </c>
      <c r="AJ80" s="484">
        <v>2220</v>
      </c>
    </row>
    <row r="81" spans="1:36" ht="12.75">
      <c r="A81" s="1417"/>
      <c r="B81" s="756" t="s">
        <v>303</v>
      </c>
      <c r="C81" s="757" t="s">
        <v>305</v>
      </c>
      <c r="D81" s="471">
        <v>0</v>
      </c>
      <c r="E81" s="471">
        <v>0</v>
      </c>
      <c r="F81" s="471">
        <v>0</v>
      </c>
      <c r="G81" s="471">
        <v>0</v>
      </c>
      <c r="H81" s="471">
        <v>0</v>
      </c>
      <c r="I81" s="471">
        <v>0</v>
      </c>
      <c r="J81" s="471">
        <v>0</v>
      </c>
      <c r="K81" s="471">
        <v>0</v>
      </c>
      <c r="L81" s="471">
        <v>56</v>
      </c>
      <c r="M81" s="471">
        <v>0</v>
      </c>
      <c r="N81" s="471">
        <v>0</v>
      </c>
      <c r="O81" s="471">
        <v>0</v>
      </c>
      <c r="P81" s="471">
        <v>0</v>
      </c>
      <c r="Q81" s="471">
        <f t="shared" si="0"/>
        <v>2220</v>
      </c>
      <c r="R81" s="471">
        <f t="shared" si="1"/>
        <v>56</v>
      </c>
      <c r="S81" s="473">
        <f t="shared" si="4"/>
        <v>2276</v>
      </c>
      <c r="T81" s="1417"/>
      <c r="U81" s="756" t="s">
        <v>303</v>
      </c>
      <c r="V81" s="757" t="s">
        <v>305</v>
      </c>
      <c r="W81" s="471">
        <v>0</v>
      </c>
      <c r="X81" s="471">
        <v>0</v>
      </c>
      <c r="Y81" s="471">
        <f>2220+56</f>
        <v>2276</v>
      </c>
      <c r="Z81" s="471">
        <v>0</v>
      </c>
      <c r="AA81" s="471"/>
      <c r="AB81" s="471">
        <v>0</v>
      </c>
      <c r="AC81" s="471">
        <v>0</v>
      </c>
      <c r="AD81" s="471">
        <v>0</v>
      </c>
      <c r="AE81" s="471">
        <v>0</v>
      </c>
      <c r="AF81" s="471">
        <v>0</v>
      </c>
      <c r="AG81" s="471"/>
      <c r="AH81" s="473">
        <f t="shared" si="3"/>
        <v>2276</v>
      </c>
      <c r="AJ81" s="484">
        <v>2220</v>
      </c>
    </row>
    <row r="82" spans="1:36" ht="12.75">
      <c r="A82" s="1417"/>
      <c r="B82" s="756" t="s">
        <v>303</v>
      </c>
      <c r="C82" s="757" t="s">
        <v>306</v>
      </c>
      <c r="D82" s="471">
        <v>0</v>
      </c>
      <c r="E82" s="471">
        <v>0</v>
      </c>
      <c r="F82" s="471">
        <v>0</v>
      </c>
      <c r="G82" s="471">
        <v>0</v>
      </c>
      <c r="H82" s="471">
        <v>0</v>
      </c>
      <c r="I82" s="471">
        <v>0</v>
      </c>
      <c r="J82" s="471">
        <v>0</v>
      </c>
      <c r="K82" s="471">
        <v>0</v>
      </c>
      <c r="L82" s="471">
        <v>56</v>
      </c>
      <c r="M82" s="471">
        <v>0</v>
      </c>
      <c r="N82" s="471">
        <v>0</v>
      </c>
      <c r="O82" s="471">
        <v>0</v>
      </c>
      <c r="P82" s="471">
        <v>0</v>
      </c>
      <c r="Q82" s="471">
        <f t="shared" si="0"/>
        <v>2591</v>
      </c>
      <c r="R82" s="471">
        <f t="shared" si="1"/>
        <v>56</v>
      </c>
      <c r="S82" s="473">
        <f t="shared" si="4"/>
        <v>2647</v>
      </c>
      <c r="T82" s="1417"/>
      <c r="U82" s="756" t="s">
        <v>303</v>
      </c>
      <c r="V82" s="757" t="s">
        <v>306</v>
      </c>
      <c r="W82" s="471">
        <f>270+31</f>
        <v>301</v>
      </c>
      <c r="X82" s="471">
        <v>70</v>
      </c>
      <c r="Y82" s="471">
        <f>2220+56</f>
        <v>2276</v>
      </c>
      <c r="Z82" s="471">
        <v>0</v>
      </c>
      <c r="AA82" s="471"/>
      <c r="AB82" s="471">
        <v>0</v>
      </c>
      <c r="AC82" s="471">
        <v>0</v>
      </c>
      <c r="AD82" s="471">
        <v>0</v>
      </c>
      <c r="AE82" s="471">
        <v>0</v>
      </c>
      <c r="AF82" s="471">
        <v>0</v>
      </c>
      <c r="AG82" s="471"/>
      <c r="AH82" s="473">
        <f t="shared" si="3"/>
        <v>2647</v>
      </c>
      <c r="AJ82" s="484"/>
    </row>
    <row r="83" spans="1:36" ht="12.75">
      <c r="A83" s="1417"/>
      <c r="B83" s="756" t="s">
        <v>303</v>
      </c>
      <c r="C83" s="757" t="s">
        <v>307</v>
      </c>
      <c r="D83" s="471">
        <v>0</v>
      </c>
      <c r="E83" s="471">
        <v>0</v>
      </c>
      <c r="F83" s="471">
        <v>0</v>
      </c>
      <c r="G83" s="471">
        <v>0</v>
      </c>
      <c r="H83" s="471">
        <v>0</v>
      </c>
      <c r="I83" s="471">
        <v>0</v>
      </c>
      <c r="J83" s="471">
        <v>0</v>
      </c>
      <c r="K83" s="471">
        <v>0</v>
      </c>
      <c r="L83" s="471">
        <v>56</v>
      </c>
      <c r="M83" s="471">
        <v>0</v>
      </c>
      <c r="N83" s="471">
        <v>0</v>
      </c>
      <c r="O83" s="471">
        <v>0</v>
      </c>
      <c r="P83" s="471">
        <v>0</v>
      </c>
      <c r="Q83" s="471">
        <f>AH83-R83</f>
        <v>2591</v>
      </c>
      <c r="R83" s="471">
        <f>SUM(D83:O83)-E83</f>
        <v>56</v>
      </c>
      <c r="S83" s="473">
        <f>Q83+R83</f>
        <v>2647</v>
      </c>
      <c r="T83" s="1417"/>
      <c r="U83" s="756" t="s">
        <v>303</v>
      </c>
      <c r="V83" s="757" t="s">
        <v>307</v>
      </c>
      <c r="W83" s="471">
        <f>270+31</f>
        <v>301</v>
      </c>
      <c r="X83" s="471">
        <v>70</v>
      </c>
      <c r="Y83" s="471">
        <f>2220+56</f>
        <v>2276</v>
      </c>
      <c r="Z83" s="471">
        <v>0</v>
      </c>
      <c r="AA83" s="471"/>
      <c r="AB83" s="471">
        <v>0</v>
      </c>
      <c r="AC83" s="471">
        <v>0</v>
      </c>
      <c r="AD83" s="471">
        <v>0</v>
      </c>
      <c r="AE83" s="471">
        <v>0</v>
      </c>
      <c r="AF83" s="471">
        <v>0</v>
      </c>
      <c r="AG83" s="471"/>
      <c r="AH83" s="473">
        <f>SUM(W83:AF83)-Z83</f>
        <v>2647</v>
      </c>
      <c r="AJ83" s="484"/>
    </row>
    <row r="84" spans="1:36" ht="12.75">
      <c r="A84" s="1417"/>
      <c r="B84" s="756" t="s">
        <v>303</v>
      </c>
      <c r="C84" s="757" t="s">
        <v>308</v>
      </c>
      <c r="D84" s="471">
        <v>0</v>
      </c>
      <c r="E84" s="471">
        <v>0</v>
      </c>
      <c r="F84" s="471">
        <v>0</v>
      </c>
      <c r="G84" s="471">
        <v>0</v>
      </c>
      <c r="H84" s="471">
        <v>0</v>
      </c>
      <c r="I84" s="471">
        <v>0</v>
      </c>
      <c r="J84" s="471">
        <v>0</v>
      </c>
      <c r="K84" s="471">
        <v>0</v>
      </c>
      <c r="L84" s="471">
        <v>56</v>
      </c>
      <c r="M84" s="471">
        <v>0</v>
      </c>
      <c r="N84" s="471">
        <v>0</v>
      </c>
      <c r="O84" s="471">
        <v>0</v>
      </c>
      <c r="P84" s="471">
        <v>0</v>
      </c>
      <c r="Q84" s="471">
        <f>AH84-R84</f>
        <v>2591</v>
      </c>
      <c r="R84" s="471">
        <f>SUM(D84:O84)-E84</f>
        <v>56</v>
      </c>
      <c r="S84" s="473">
        <f>Q84+R84</f>
        <v>2647</v>
      </c>
      <c r="T84" s="1417"/>
      <c r="U84" s="756" t="s">
        <v>303</v>
      </c>
      <c r="V84" s="757" t="s">
        <v>308</v>
      </c>
      <c r="W84" s="471">
        <f>270+31</f>
        <v>301</v>
      </c>
      <c r="X84" s="471">
        <v>70</v>
      </c>
      <c r="Y84" s="471">
        <f>2220+56</f>
        <v>2276</v>
      </c>
      <c r="Z84" s="471">
        <v>0</v>
      </c>
      <c r="AA84" s="471"/>
      <c r="AB84" s="471">
        <v>0</v>
      </c>
      <c r="AC84" s="471">
        <v>0</v>
      </c>
      <c r="AD84" s="471">
        <v>0</v>
      </c>
      <c r="AE84" s="471">
        <v>0</v>
      </c>
      <c r="AF84" s="471">
        <v>0</v>
      </c>
      <c r="AG84" s="471"/>
      <c r="AH84" s="473">
        <f>SUM(W84:AF84)-Z84</f>
        <v>2647</v>
      </c>
      <c r="AJ84" s="484"/>
    </row>
    <row r="85" spans="1:36" ht="12.75">
      <c r="A85" s="1417"/>
      <c r="B85" s="756" t="s">
        <v>303</v>
      </c>
      <c r="C85" s="757" t="s">
        <v>527</v>
      </c>
      <c r="D85" s="471">
        <v>0</v>
      </c>
      <c r="E85" s="471">
        <v>0</v>
      </c>
      <c r="F85" s="471">
        <v>0</v>
      </c>
      <c r="G85" s="471">
        <v>0</v>
      </c>
      <c r="H85" s="471">
        <v>0</v>
      </c>
      <c r="I85" s="471">
        <v>0</v>
      </c>
      <c r="J85" s="471">
        <v>0</v>
      </c>
      <c r="K85" s="471">
        <v>0</v>
      </c>
      <c r="L85" s="471">
        <v>56</v>
      </c>
      <c r="M85" s="471">
        <v>0</v>
      </c>
      <c r="N85" s="471">
        <v>0</v>
      </c>
      <c r="O85" s="471">
        <v>0</v>
      </c>
      <c r="P85" s="471">
        <v>0</v>
      </c>
      <c r="Q85" s="471">
        <f>AH85-R85</f>
        <v>2591</v>
      </c>
      <c r="R85" s="471">
        <f>SUM(D85:O85)-E85</f>
        <v>56</v>
      </c>
      <c r="S85" s="473">
        <f>Q85+R85</f>
        <v>2647</v>
      </c>
      <c r="T85" s="1417"/>
      <c r="U85" s="756" t="s">
        <v>303</v>
      </c>
      <c r="V85" s="757" t="s">
        <v>527</v>
      </c>
      <c r="W85" s="471">
        <f>270+31</f>
        <v>301</v>
      </c>
      <c r="X85" s="471">
        <v>70</v>
      </c>
      <c r="Y85" s="471">
        <f>2220+56</f>
        <v>2276</v>
      </c>
      <c r="Z85" s="471">
        <v>0</v>
      </c>
      <c r="AA85" s="471"/>
      <c r="AB85" s="471">
        <v>0</v>
      </c>
      <c r="AC85" s="471">
        <v>0</v>
      </c>
      <c r="AD85" s="471">
        <v>0</v>
      </c>
      <c r="AE85" s="471">
        <v>0</v>
      </c>
      <c r="AF85" s="471">
        <v>0</v>
      </c>
      <c r="AG85" s="471"/>
      <c r="AH85" s="473">
        <f>SUM(W85:AF85)-Z85</f>
        <v>2647</v>
      </c>
      <c r="AJ85" s="484"/>
    </row>
    <row r="86" spans="1:36" ht="13.5" thickBot="1">
      <c r="A86" s="1429"/>
      <c r="B86" s="773" t="s">
        <v>303</v>
      </c>
      <c r="C86" s="774" t="s">
        <v>321</v>
      </c>
      <c r="D86" s="479">
        <v>0</v>
      </c>
      <c r="E86" s="479">
        <v>0</v>
      </c>
      <c r="F86" s="479">
        <v>0</v>
      </c>
      <c r="G86" s="479">
        <v>0</v>
      </c>
      <c r="H86" s="479">
        <v>0</v>
      </c>
      <c r="I86" s="479">
        <v>0</v>
      </c>
      <c r="J86" s="479">
        <v>0</v>
      </c>
      <c r="K86" s="479">
        <v>0</v>
      </c>
      <c r="L86" s="479">
        <v>56</v>
      </c>
      <c r="M86" s="479">
        <v>0</v>
      </c>
      <c r="N86" s="479">
        <v>0</v>
      </c>
      <c r="O86" s="479">
        <v>0</v>
      </c>
      <c r="P86" s="479">
        <v>0</v>
      </c>
      <c r="Q86" s="479">
        <f>AH86-R86</f>
        <v>975</v>
      </c>
      <c r="R86" s="479">
        <f>SUM(D86:O86)-E86</f>
        <v>56</v>
      </c>
      <c r="S86" s="486">
        <f>Q86+R86</f>
        <v>1031</v>
      </c>
      <c r="T86" s="1429"/>
      <c r="U86" s="773" t="s">
        <v>303</v>
      </c>
      <c r="V86" s="774" t="s">
        <v>321</v>
      </c>
      <c r="W86" s="479">
        <v>300</v>
      </c>
      <c r="X86" s="479">
        <v>69</v>
      </c>
      <c r="Y86" s="479">
        <f>661+1</f>
        <v>662</v>
      </c>
      <c r="Z86" s="479">
        <v>0</v>
      </c>
      <c r="AA86" s="479"/>
      <c r="AB86" s="479">
        <v>0</v>
      </c>
      <c r="AC86" s="479">
        <v>0</v>
      </c>
      <c r="AD86" s="479">
        <v>0</v>
      </c>
      <c r="AE86" s="479"/>
      <c r="AF86" s="479"/>
      <c r="AG86" s="479"/>
      <c r="AH86" s="486">
        <f>SUM(W86:AF86)-Z86</f>
        <v>1031</v>
      </c>
      <c r="AJ86" s="484"/>
    </row>
    <row r="87" spans="1:36" ht="12.75">
      <c r="A87" s="1430" t="s">
        <v>313</v>
      </c>
      <c r="B87" s="771" t="s">
        <v>303</v>
      </c>
      <c r="C87" s="772" t="s">
        <v>873</v>
      </c>
      <c r="D87" s="480">
        <v>8303</v>
      </c>
      <c r="E87" s="480">
        <v>7883</v>
      </c>
      <c r="F87" s="480">
        <v>2134</v>
      </c>
      <c r="G87" s="480">
        <v>0</v>
      </c>
      <c r="H87" s="480">
        <v>0</v>
      </c>
      <c r="I87" s="480">
        <v>0</v>
      </c>
      <c r="J87" s="480">
        <v>0</v>
      </c>
      <c r="K87" s="480">
        <v>0</v>
      </c>
      <c r="L87" s="480">
        <v>0</v>
      </c>
      <c r="M87" s="480">
        <v>0</v>
      </c>
      <c r="N87" s="480">
        <v>0</v>
      </c>
      <c r="O87" s="480">
        <v>0</v>
      </c>
      <c r="P87" s="480">
        <v>0</v>
      </c>
      <c r="Q87" s="480">
        <f t="shared" si="0"/>
        <v>20283</v>
      </c>
      <c r="R87" s="480">
        <f t="shared" si="1"/>
        <v>10437</v>
      </c>
      <c r="S87" s="485">
        <f t="shared" si="4"/>
        <v>30720</v>
      </c>
      <c r="T87" s="1430" t="s">
        <v>313</v>
      </c>
      <c r="U87" s="771" t="s">
        <v>303</v>
      </c>
      <c r="V87" s="772" t="s">
        <v>873</v>
      </c>
      <c r="W87" s="480">
        <v>285</v>
      </c>
      <c r="X87" s="480">
        <v>77</v>
      </c>
      <c r="Y87" s="480">
        <v>30358</v>
      </c>
      <c r="Z87" s="480">
        <v>19809</v>
      </c>
      <c r="AA87" s="480"/>
      <c r="AB87" s="480">
        <v>0</v>
      </c>
      <c r="AC87" s="480">
        <v>0</v>
      </c>
      <c r="AD87" s="480">
        <v>0</v>
      </c>
      <c r="AE87" s="480">
        <v>0</v>
      </c>
      <c r="AF87" s="480">
        <v>0</v>
      </c>
      <c r="AG87" s="480"/>
      <c r="AH87" s="485">
        <f t="shared" si="3"/>
        <v>30720</v>
      </c>
      <c r="AJ87" s="484">
        <v>30720</v>
      </c>
    </row>
    <row r="88" spans="1:36" ht="12.75">
      <c r="A88" s="1417"/>
      <c r="B88" s="756" t="s">
        <v>303</v>
      </c>
      <c r="C88" s="757" t="s">
        <v>304</v>
      </c>
      <c r="D88" s="471">
        <v>8303</v>
      </c>
      <c r="E88" s="471">
        <v>7883</v>
      </c>
      <c r="F88" s="471">
        <v>2134</v>
      </c>
      <c r="G88" s="471">
        <v>0</v>
      </c>
      <c r="H88" s="471">
        <v>0</v>
      </c>
      <c r="I88" s="471">
        <v>0</v>
      </c>
      <c r="J88" s="471">
        <v>0</v>
      </c>
      <c r="K88" s="471">
        <v>0</v>
      </c>
      <c r="L88" s="471">
        <v>0</v>
      </c>
      <c r="M88" s="471">
        <v>0</v>
      </c>
      <c r="N88" s="471">
        <v>0</v>
      </c>
      <c r="O88" s="471">
        <v>0</v>
      </c>
      <c r="P88" s="471">
        <v>0</v>
      </c>
      <c r="Q88" s="471">
        <f t="shared" si="0"/>
        <v>20283</v>
      </c>
      <c r="R88" s="471">
        <f t="shared" si="1"/>
        <v>10437</v>
      </c>
      <c r="S88" s="473">
        <f t="shared" si="4"/>
        <v>30720</v>
      </c>
      <c r="T88" s="1417"/>
      <c r="U88" s="756" t="s">
        <v>303</v>
      </c>
      <c r="V88" s="757" t="s">
        <v>304</v>
      </c>
      <c r="W88" s="471">
        <v>285</v>
      </c>
      <c r="X88" s="471">
        <v>77</v>
      </c>
      <c r="Y88" s="471">
        <v>30358</v>
      </c>
      <c r="Z88" s="471">
        <v>19809</v>
      </c>
      <c r="AA88" s="471"/>
      <c r="AB88" s="471">
        <v>0</v>
      </c>
      <c r="AC88" s="471">
        <v>0</v>
      </c>
      <c r="AD88" s="471">
        <v>0</v>
      </c>
      <c r="AE88" s="471">
        <v>0</v>
      </c>
      <c r="AF88" s="471">
        <v>0</v>
      </c>
      <c r="AG88" s="471"/>
      <c r="AH88" s="473">
        <f t="shared" si="3"/>
        <v>30720</v>
      </c>
      <c r="AJ88" s="484">
        <v>30720</v>
      </c>
    </row>
    <row r="89" spans="1:36" ht="12.75">
      <c r="A89" s="1417"/>
      <c r="B89" s="756" t="s">
        <v>303</v>
      </c>
      <c r="C89" s="757" t="s">
        <v>305</v>
      </c>
      <c r="D89" s="471">
        <v>8303</v>
      </c>
      <c r="E89" s="471">
        <v>7883</v>
      </c>
      <c r="F89" s="471">
        <v>2134</v>
      </c>
      <c r="G89" s="471">
        <v>0</v>
      </c>
      <c r="H89" s="471">
        <v>0</v>
      </c>
      <c r="I89" s="471">
        <v>0</v>
      </c>
      <c r="J89" s="471">
        <v>0</v>
      </c>
      <c r="K89" s="471">
        <v>0</v>
      </c>
      <c r="L89" s="471">
        <v>533</v>
      </c>
      <c r="M89" s="471">
        <v>0</v>
      </c>
      <c r="N89" s="471">
        <v>0</v>
      </c>
      <c r="O89" s="471">
        <v>0</v>
      </c>
      <c r="P89" s="471">
        <v>0</v>
      </c>
      <c r="Q89" s="471">
        <f t="shared" si="0"/>
        <v>20283</v>
      </c>
      <c r="R89" s="471">
        <f t="shared" si="1"/>
        <v>10970</v>
      </c>
      <c r="S89" s="473">
        <f t="shared" si="4"/>
        <v>31253</v>
      </c>
      <c r="T89" s="1417"/>
      <c r="U89" s="756" t="s">
        <v>303</v>
      </c>
      <c r="V89" s="757" t="s">
        <v>305</v>
      </c>
      <c r="W89" s="471">
        <v>285</v>
      </c>
      <c r="X89" s="471">
        <v>77</v>
      </c>
      <c r="Y89" s="471">
        <f>30358+533</f>
        <v>30891</v>
      </c>
      <c r="Z89" s="471">
        <v>19809</v>
      </c>
      <c r="AA89" s="471"/>
      <c r="AB89" s="471">
        <v>0</v>
      </c>
      <c r="AC89" s="471">
        <v>0</v>
      </c>
      <c r="AD89" s="471">
        <v>0</v>
      </c>
      <c r="AE89" s="471">
        <v>0</v>
      </c>
      <c r="AF89" s="471">
        <v>0</v>
      </c>
      <c r="AG89" s="471"/>
      <c r="AH89" s="473">
        <f t="shared" si="3"/>
        <v>31253</v>
      </c>
      <c r="AJ89" s="484">
        <v>30720</v>
      </c>
    </row>
    <row r="90" spans="1:36" ht="12.75">
      <c r="A90" s="1417"/>
      <c r="B90" s="756" t="s">
        <v>303</v>
      </c>
      <c r="C90" s="757" t="s">
        <v>306</v>
      </c>
      <c r="D90" s="471">
        <v>8303</v>
      </c>
      <c r="E90" s="471">
        <v>7883</v>
      </c>
      <c r="F90" s="471">
        <v>2134</v>
      </c>
      <c r="G90" s="471">
        <v>0</v>
      </c>
      <c r="H90" s="471">
        <v>0</v>
      </c>
      <c r="I90" s="471">
        <v>0</v>
      </c>
      <c r="J90" s="471">
        <v>0</v>
      </c>
      <c r="K90" s="471">
        <v>0</v>
      </c>
      <c r="L90" s="471">
        <v>533</v>
      </c>
      <c r="M90" s="471">
        <v>0</v>
      </c>
      <c r="N90" s="471">
        <v>0</v>
      </c>
      <c r="O90" s="471">
        <v>0</v>
      </c>
      <c r="P90" s="471">
        <v>0</v>
      </c>
      <c r="Q90" s="471">
        <f t="shared" si="0"/>
        <v>20445</v>
      </c>
      <c r="R90" s="471">
        <f t="shared" si="1"/>
        <v>10970</v>
      </c>
      <c r="S90" s="473">
        <f t="shared" si="4"/>
        <v>31415</v>
      </c>
      <c r="T90" s="1417"/>
      <c r="U90" s="756" t="s">
        <v>303</v>
      </c>
      <c r="V90" s="757" t="s">
        <v>306</v>
      </c>
      <c r="W90" s="471">
        <f>285-31-62</f>
        <v>192</v>
      </c>
      <c r="X90" s="471">
        <f>77-45</f>
        <v>32</v>
      </c>
      <c r="Y90" s="471">
        <f>30358+533+300</f>
        <v>31191</v>
      </c>
      <c r="Z90" s="471">
        <v>19809</v>
      </c>
      <c r="AA90" s="471"/>
      <c r="AB90" s="471">
        <v>0</v>
      </c>
      <c r="AC90" s="471">
        <v>0</v>
      </c>
      <c r="AD90" s="471">
        <v>0</v>
      </c>
      <c r="AE90" s="471">
        <v>0</v>
      </c>
      <c r="AF90" s="471">
        <v>0</v>
      </c>
      <c r="AG90" s="471"/>
      <c r="AH90" s="473">
        <f t="shared" si="3"/>
        <v>31415</v>
      </c>
      <c r="AJ90" s="484"/>
    </row>
    <row r="91" spans="1:36" ht="12.75">
      <c r="A91" s="1417"/>
      <c r="B91" s="756" t="s">
        <v>303</v>
      </c>
      <c r="C91" s="757" t="s">
        <v>307</v>
      </c>
      <c r="D91" s="471">
        <v>8303</v>
      </c>
      <c r="E91" s="471">
        <v>7883</v>
      </c>
      <c r="F91" s="471">
        <v>2134</v>
      </c>
      <c r="G91" s="471">
        <v>0</v>
      </c>
      <c r="H91" s="471">
        <v>0</v>
      </c>
      <c r="I91" s="471">
        <v>0</v>
      </c>
      <c r="J91" s="471">
        <v>0</v>
      </c>
      <c r="K91" s="471">
        <v>0</v>
      </c>
      <c r="L91" s="471">
        <v>533</v>
      </c>
      <c r="M91" s="471">
        <v>0</v>
      </c>
      <c r="N91" s="471">
        <v>0</v>
      </c>
      <c r="O91" s="471">
        <v>0</v>
      </c>
      <c r="P91" s="471">
        <v>0</v>
      </c>
      <c r="Q91" s="471">
        <f>AH91-R91</f>
        <v>20445</v>
      </c>
      <c r="R91" s="471">
        <f>SUM(D91:O91)-E91</f>
        <v>10970</v>
      </c>
      <c r="S91" s="473">
        <f>Q91+R91</f>
        <v>31415</v>
      </c>
      <c r="T91" s="1417"/>
      <c r="U91" s="756" t="s">
        <v>303</v>
      </c>
      <c r="V91" s="757" t="s">
        <v>307</v>
      </c>
      <c r="W91" s="471">
        <f>285-31-62</f>
        <v>192</v>
      </c>
      <c r="X91" s="471">
        <f>77-45</f>
        <v>32</v>
      </c>
      <c r="Y91" s="471">
        <f>30358+533+300</f>
        <v>31191</v>
      </c>
      <c r="Z91" s="471">
        <v>19809</v>
      </c>
      <c r="AA91" s="471"/>
      <c r="AB91" s="471">
        <v>0</v>
      </c>
      <c r="AC91" s="471">
        <v>0</v>
      </c>
      <c r="AD91" s="471">
        <v>0</v>
      </c>
      <c r="AE91" s="471">
        <v>0</v>
      </c>
      <c r="AF91" s="471">
        <v>0</v>
      </c>
      <c r="AG91" s="471"/>
      <c r="AH91" s="473">
        <f>SUM(W91:AF91)-Z91</f>
        <v>31415</v>
      </c>
      <c r="AJ91" s="484"/>
    </row>
    <row r="92" spans="1:36" ht="12.75">
      <c r="A92" s="1417"/>
      <c r="B92" s="756" t="s">
        <v>303</v>
      </c>
      <c r="C92" s="757" t="s">
        <v>308</v>
      </c>
      <c r="D92" s="471">
        <v>8303</v>
      </c>
      <c r="E92" s="471">
        <v>7883</v>
      </c>
      <c r="F92" s="471">
        <v>2134</v>
      </c>
      <c r="G92" s="471">
        <v>0</v>
      </c>
      <c r="H92" s="471">
        <v>0</v>
      </c>
      <c r="I92" s="471">
        <v>0</v>
      </c>
      <c r="J92" s="471">
        <v>0</v>
      </c>
      <c r="K92" s="471">
        <v>0</v>
      </c>
      <c r="L92" s="471">
        <v>533</v>
      </c>
      <c r="M92" s="471">
        <v>0</v>
      </c>
      <c r="N92" s="471">
        <v>0</v>
      </c>
      <c r="O92" s="471">
        <v>0</v>
      </c>
      <c r="P92" s="471">
        <v>0</v>
      </c>
      <c r="Q92" s="471">
        <f>AH92-R92</f>
        <v>20445</v>
      </c>
      <c r="R92" s="471">
        <f>SUM(D92:O92)-E92</f>
        <v>10970</v>
      </c>
      <c r="S92" s="473">
        <f>Q92+R92</f>
        <v>31415</v>
      </c>
      <c r="T92" s="1417"/>
      <c r="U92" s="756" t="s">
        <v>303</v>
      </c>
      <c r="V92" s="757" t="s">
        <v>308</v>
      </c>
      <c r="W92" s="471">
        <f>285-31-62</f>
        <v>192</v>
      </c>
      <c r="X92" s="471">
        <f>77-45</f>
        <v>32</v>
      </c>
      <c r="Y92" s="471">
        <f>30358+533+300</f>
        <v>31191</v>
      </c>
      <c r="Z92" s="471">
        <v>19809</v>
      </c>
      <c r="AA92" s="471"/>
      <c r="AB92" s="471">
        <v>0</v>
      </c>
      <c r="AC92" s="471">
        <v>0</v>
      </c>
      <c r="AD92" s="471">
        <v>0</v>
      </c>
      <c r="AE92" s="471">
        <v>0</v>
      </c>
      <c r="AF92" s="471">
        <v>0</v>
      </c>
      <c r="AG92" s="471"/>
      <c r="AH92" s="473">
        <f>SUM(W92:AF92)-Z92</f>
        <v>31415</v>
      </c>
      <c r="AJ92" s="484"/>
    </row>
    <row r="93" spans="1:36" ht="12.75">
      <c r="A93" s="1417"/>
      <c r="B93" s="756" t="s">
        <v>303</v>
      </c>
      <c r="C93" s="757" t="s">
        <v>527</v>
      </c>
      <c r="D93" s="471">
        <v>8303</v>
      </c>
      <c r="E93" s="471">
        <v>7883</v>
      </c>
      <c r="F93" s="471">
        <v>2134</v>
      </c>
      <c r="G93" s="471">
        <v>0</v>
      </c>
      <c r="H93" s="471">
        <v>0</v>
      </c>
      <c r="I93" s="471">
        <v>0</v>
      </c>
      <c r="J93" s="471">
        <v>0</v>
      </c>
      <c r="K93" s="471">
        <v>0</v>
      </c>
      <c r="L93" s="471">
        <v>533</v>
      </c>
      <c r="M93" s="471">
        <v>0</v>
      </c>
      <c r="N93" s="471">
        <v>0</v>
      </c>
      <c r="O93" s="471">
        <v>0</v>
      </c>
      <c r="P93" s="471">
        <v>0</v>
      </c>
      <c r="Q93" s="471">
        <f>AH93-R93</f>
        <v>20445</v>
      </c>
      <c r="R93" s="471">
        <f>SUM(D93:O93)-E93</f>
        <v>10970</v>
      </c>
      <c r="S93" s="473">
        <f>Q93+R93</f>
        <v>31415</v>
      </c>
      <c r="T93" s="1417"/>
      <c r="U93" s="756" t="s">
        <v>303</v>
      </c>
      <c r="V93" s="757" t="s">
        <v>527</v>
      </c>
      <c r="W93" s="471">
        <f>285-31-62</f>
        <v>192</v>
      </c>
      <c r="X93" s="471">
        <f>77-45</f>
        <v>32</v>
      </c>
      <c r="Y93" s="471">
        <f>30358+533+300</f>
        <v>31191</v>
      </c>
      <c r="Z93" s="471">
        <v>19809</v>
      </c>
      <c r="AA93" s="471"/>
      <c r="AB93" s="471">
        <v>0</v>
      </c>
      <c r="AC93" s="471">
        <v>0</v>
      </c>
      <c r="AD93" s="471">
        <v>0</v>
      </c>
      <c r="AE93" s="471">
        <v>0</v>
      </c>
      <c r="AF93" s="471">
        <v>0</v>
      </c>
      <c r="AG93" s="471"/>
      <c r="AH93" s="473">
        <f>SUM(W93:AF93)-Z93</f>
        <v>31415</v>
      </c>
      <c r="AJ93" s="484"/>
    </row>
    <row r="94" spans="1:36" ht="12.75">
      <c r="A94" s="1417"/>
      <c r="B94" s="756" t="s">
        <v>303</v>
      </c>
      <c r="C94" s="757" t="s">
        <v>321</v>
      </c>
      <c r="D94" s="471">
        <v>7996</v>
      </c>
      <c r="E94" s="471">
        <v>7769</v>
      </c>
      <c r="F94" s="471">
        <v>2159</v>
      </c>
      <c r="G94" s="471"/>
      <c r="H94" s="471">
        <v>0</v>
      </c>
      <c r="I94" s="471">
        <v>0</v>
      </c>
      <c r="J94" s="471">
        <v>0</v>
      </c>
      <c r="K94" s="471">
        <v>0</v>
      </c>
      <c r="L94" s="471">
        <v>533</v>
      </c>
      <c r="M94" s="471">
        <v>0</v>
      </c>
      <c r="N94" s="471">
        <v>0</v>
      </c>
      <c r="O94" s="471">
        <v>0</v>
      </c>
      <c r="P94" s="471">
        <v>0</v>
      </c>
      <c r="Q94" s="471">
        <f>AH94-R94</f>
        <v>18039</v>
      </c>
      <c r="R94" s="471">
        <f>SUM(D94:O94)-E94</f>
        <v>10688</v>
      </c>
      <c r="S94" s="473">
        <f>Q94+R94</f>
        <v>28727</v>
      </c>
      <c r="T94" s="1417"/>
      <c r="U94" s="756" t="s">
        <v>303</v>
      </c>
      <c r="V94" s="757" t="s">
        <v>321</v>
      </c>
      <c r="W94" s="471">
        <v>191</v>
      </c>
      <c r="X94" s="471">
        <v>31</v>
      </c>
      <c r="Y94" s="471">
        <v>28404</v>
      </c>
      <c r="Z94" s="471">
        <v>19234</v>
      </c>
      <c r="AA94" s="471"/>
      <c r="AB94" s="471">
        <v>0</v>
      </c>
      <c r="AC94" s="471">
        <v>0</v>
      </c>
      <c r="AD94" s="471">
        <v>0</v>
      </c>
      <c r="AE94" s="471">
        <v>101</v>
      </c>
      <c r="AF94" s="471">
        <v>0</v>
      </c>
      <c r="AG94" s="471"/>
      <c r="AH94" s="473">
        <f>SUM(W94:AF94)-Z94</f>
        <v>28727</v>
      </c>
      <c r="AJ94" s="484"/>
    </row>
    <row r="95" spans="1:36" ht="12.75">
      <c r="A95" s="1417" t="s">
        <v>314</v>
      </c>
      <c r="B95" s="756" t="s">
        <v>303</v>
      </c>
      <c r="C95" s="757" t="s">
        <v>873</v>
      </c>
      <c r="D95" s="471">
        <v>0</v>
      </c>
      <c r="E95" s="471">
        <v>0</v>
      </c>
      <c r="F95" s="471">
        <v>0</v>
      </c>
      <c r="G95" s="471">
        <v>0</v>
      </c>
      <c r="H95" s="471">
        <v>0</v>
      </c>
      <c r="I95" s="471">
        <v>0</v>
      </c>
      <c r="J95" s="471">
        <v>0</v>
      </c>
      <c r="K95" s="471">
        <v>0</v>
      </c>
      <c r="L95" s="471"/>
      <c r="M95" s="471">
        <v>0</v>
      </c>
      <c r="N95" s="471">
        <v>0</v>
      </c>
      <c r="O95" s="471">
        <v>0</v>
      </c>
      <c r="P95" s="471">
        <v>0</v>
      </c>
      <c r="Q95" s="471">
        <f t="shared" si="0"/>
        <v>0</v>
      </c>
      <c r="R95" s="471">
        <f t="shared" si="1"/>
        <v>0</v>
      </c>
      <c r="S95" s="473">
        <f t="shared" si="4"/>
        <v>0</v>
      </c>
      <c r="T95" s="1417" t="s">
        <v>314</v>
      </c>
      <c r="U95" s="756" t="s">
        <v>303</v>
      </c>
      <c r="V95" s="757" t="s">
        <v>873</v>
      </c>
      <c r="W95" s="471">
        <v>0</v>
      </c>
      <c r="X95" s="471">
        <v>0</v>
      </c>
      <c r="Y95" s="471">
        <v>0</v>
      </c>
      <c r="Z95" s="471">
        <v>0</v>
      </c>
      <c r="AA95" s="471"/>
      <c r="AB95" s="471">
        <v>0</v>
      </c>
      <c r="AC95" s="471">
        <v>0</v>
      </c>
      <c r="AD95" s="471">
        <v>0</v>
      </c>
      <c r="AE95" s="471">
        <v>0</v>
      </c>
      <c r="AF95" s="471">
        <v>0</v>
      </c>
      <c r="AG95" s="471"/>
      <c r="AH95" s="473">
        <f t="shared" si="3"/>
        <v>0</v>
      </c>
      <c r="AJ95" s="484">
        <v>0</v>
      </c>
    </row>
    <row r="96" spans="1:36" ht="12.75">
      <c r="A96" s="1417"/>
      <c r="B96" s="756" t="s">
        <v>303</v>
      </c>
      <c r="C96" s="757" t="s">
        <v>304</v>
      </c>
      <c r="D96" s="471">
        <v>0</v>
      </c>
      <c r="E96" s="471">
        <v>0</v>
      </c>
      <c r="F96" s="471">
        <v>0</v>
      </c>
      <c r="G96" s="471">
        <v>0</v>
      </c>
      <c r="H96" s="471">
        <v>0</v>
      </c>
      <c r="I96" s="471">
        <v>0</v>
      </c>
      <c r="J96" s="471">
        <v>0</v>
      </c>
      <c r="K96" s="471">
        <v>0</v>
      </c>
      <c r="L96" s="471"/>
      <c r="M96" s="471">
        <v>0</v>
      </c>
      <c r="N96" s="471">
        <v>0</v>
      </c>
      <c r="O96" s="471">
        <v>0</v>
      </c>
      <c r="P96" s="471">
        <v>0</v>
      </c>
      <c r="Q96" s="471">
        <f t="shared" si="0"/>
        <v>0</v>
      </c>
      <c r="R96" s="471">
        <f t="shared" si="1"/>
        <v>0</v>
      </c>
      <c r="S96" s="473">
        <f t="shared" si="4"/>
        <v>0</v>
      </c>
      <c r="T96" s="1417"/>
      <c r="U96" s="756" t="s">
        <v>303</v>
      </c>
      <c r="V96" s="757" t="s">
        <v>304</v>
      </c>
      <c r="W96" s="471">
        <v>0</v>
      </c>
      <c r="X96" s="471">
        <v>0</v>
      </c>
      <c r="Y96" s="471">
        <v>0</v>
      </c>
      <c r="Z96" s="471">
        <v>0</v>
      </c>
      <c r="AA96" s="471"/>
      <c r="AB96" s="471">
        <v>0</v>
      </c>
      <c r="AC96" s="471">
        <v>0</v>
      </c>
      <c r="AD96" s="471">
        <v>0</v>
      </c>
      <c r="AE96" s="471">
        <v>0</v>
      </c>
      <c r="AF96" s="471">
        <v>0</v>
      </c>
      <c r="AG96" s="471"/>
      <c r="AH96" s="473">
        <f t="shared" si="3"/>
        <v>0</v>
      </c>
      <c r="AJ96" s="484">
        <v>0</v>
      </c>
    </row>
    <row r="97" spans="1:36" ht="12.75">
      <c r="A97" s="1417"/>
      <c r="B97" s="756" t="s">
        <v>303</v>
      </c>
      <c r="C97" s="757" t="s">
        <v>305</v>
      </c>
      <c r="D97" s="471">
        <v>0</v>
      </c>
      <c r="E97" s="471">
        <v>0</v>
      </c>
      <c r="F97" s="471">
        <v>0</v>
      </c>
      <c r="G97" s="471">
        <v>0</v>
      </c>
      <c r="H97" s="471">
        <v>0</v>
      </c>
      <c r="I97" s="471">
        <v>0</v>
      </c>
      <c r="J97" s="471">
        <v>0</v>
      </c>
      <c r="K97" s="471">
        <v>0</v>
      </c>
      <c r="L97" s="471">
        <v>994</v>
      </c>
      <c r="M97" s="471">
        <v>0</v>
      </c>
      <c r="N97" s="471">
        <v>0</v>
      </c>
      <c r="O97" s="471">
        <v>0</v>
      </c>
      <c r="P97" s="471">
        <v>0</v>
      </c>
      <c r="Q97" s="471">
        <f t="shared" si="0"/>
        <v>0</v>
      </c>
      <c r="R97" s="471">
        <f t="shared" si="1"/>
        <v>994</v>
      </c>
      <c r="S97" s="473">
        <f t="shared" si="4"/>
        <v>994</v>
      </c>
      <c r="T97" s="1417"/>
      <c r="U97" s="756" t="s">
        <v>303</v>
      </c>
      <c r="V97" s="757" t="s">
        <v>305</v>
      </c>
      <c r="W97" s="471">
        <v>0</v>
      </c>
      <c r="X97" s="471">
        <v>0</v>
      </c>
      <c r="Y97" s="471">
        <v>994</v>
      </c>
      <c r="Z97" s="471">
        <v>0</v>
      </c>
      <c r="AA97" s="471"/>
      <c r="AB97" s="471">
        <v>0</v>
      </c>
      <c r="AC97" s="471">
        <v>0</v>
      </c>
      <c r="AD97" s="471">
        <v>0</v>
      </c>
      <c r="AE97" s="471">
        <v>0</v>
      </c>
      <c r="AF97" s="471">
        <v>0</v>
      </c>
      <c r="AG97" s="471"/>
      <c r="AH97" s="473">
        <f t="shared" si="3"/>
        <v>994</v>
      </c>
      <c r="AJ97" s="484">
        <v>0</v>
      </c>
    </row>
    <row r="98" spans="1:36" ht="12.75">
      <c r="A98" s="1417"/>
      <c r="B98" s="756" t="s">
        <v>303</v>
      </c>
      <c r="C98" s="757" t="s">
        <v>306</v>
      </c>
      <c r="D98" s="471">
        <v>0</v>
      </c>
      <c r="E98" s="471">
        <v>0</v>
      </c>
      <c r="F98" s="471">
        <v>0</v>
      </c>
      <c r="G98" s="471">
        <v>0</v>
      </c>
      <c r="H98" s="471">
        <v>0</v>
      </c>
      <c r="I98" s="471">
        <v>0</v>
      </c>
      <c r="J98" s="471">
        <v>0</v>
      </c>
      <c r="K98" s="471">
        <v>0</v>
      </c>
      <c r="L98" s="471">
        <v>994</v>
      </c>
      <c r="M98" s="471">
        <v>0</v>
      </c>
      <c r="N98" s="471">
        <v>0</v>
      </c>
      <c r="O98" s="471">
        <v>0</v>
      </c>
      <c r="P98" s="471">
        <v>0</v>
      </c>
      <c r="Q98" s="471">
        <f t="shared" si="0"/>
        <v>124</v>
      </c>
      <c r="R98" s="471">
        <f t="shared" si="1"/>
        <v>994</v>
      </c>
      <c r="S98" s="473">
        <f t="shared" si="4"/>
        <v>1118</v>
      </c>
      <c r="T98" s="1417"/>
      <c r="U98" s="756" t="s">
        <v>303</v>
      </c>
      <c r="V98" s="757" t="s">
        <v>306</v>
      </c>
      <c r="W98" s="471">
        <f>62+50</f>
        <v>112</v>
      </c>
      <c r="X98" s="471">
        <v>12</v>
      </c>
      <c r="Y98" s="471">
        <v>994</v>
      </c>
      <c r="Z98" s="471">
        <v>0</v>
      </c>
      <c r="AA98" s="471"/>
      <c r="AB98" s="471">
        <v>0</v>
      </c>
      <c r="AC98" s="471">
        <v>0</v>
      </c>
      <c r="AD98" s="471">
        <v>0</v>
      </c>
      <c r="AE98" s="471">
        <v>0</v>
      </c>
      <c r="AF98" s="471">
        <v>0</v>
      </c>
      <c r="AG98" s="471"/>
      <c r="AH98" s="473">
        <f t="shared" si="3"/>
        <v>1118</v>
      </c>
      <c r="AJ98" s="484"/>
    </row>
    <row r="99" spans="1:36" ht="12.75">
      <c r="A99" s="1417"/>
      <c r="B99" s="756" t="s">
        <v>303</v>
      </c>
      <c r="C99" s="757" t="s">
        <v>307</v>
      </c>
      <c r="D99" s="471">
        <v>0</v>
      </c>
      <c r="E99" s="471">
        <v>0</v>
      </c>
      <c r="F99" s="471">
        <v>0</v>
      </c>
      <c r="G99" s="471">
        <v>0</v>
      </c>
      <c r="H99" s="471">
        <v>0</v>
      </c>
      <c r="I99" s="471">
        <v>0</v>
      </c>
      <c r="J99" s="471">
        <v>0</v>
      </c>
      <c r="K99" s="471">
        <v>0</v>
      </c>
      <c r="L99" s="471">
        <v>994</v>
      </c>
      <c r="M99" s="471">
        <v>0</v>
      </c>
      <c r="N99" s="471">
        <v>0</v>
      </c>
      <c r="O99" s="471">
        <v>0</v>
      </c>
      <c r="P99" s="471">
        <v>0</v>
      </c>
      <c r="Q99" s="471">
        <f>AH99-R99</f>
        <v>124</v>
      </c>
      <c r="R99" s="471">
        <f>SUM(D99:O99)-E99</f>
        <v>994</v>
      </c>
      <c r="S99" s="473">
        <f>Q99+R99</f>
        <v>1118</v>
      </c>
      <c r="T99" s="1417"/>
      <c r="U99" s="756" t="s">
        <v>303</v>
      </c>
      <c r="V99" s="757" t="s">
        <v>307</v>
      </c>
      <c r="W99" s="471">
        <f>62+50</f>
        <v>112</v>
      </c>
      <c r="X99" s="471">
        <v>12</v>
      </c>
      <c r="Y99" s="471">
        <v>994</v>
      </c>
      <c r="Z99" s="471">
        <v>0</v>
      </c>
      <c r="AA99" s="471"/>
      <c r="AB99" s="471">
        <v>0</v>
      </c>
      <c r="AC99" s="471">
        <v>0</v>
      </c>
      <c r="AD99" s="471">
        <v>0</v>
      </c>
      <c r="AE99" s="471">
        <v>0</v>
      </c>
      <c r="AF99" s="471">
        <v>0</v>
      </c>
      <c r="AG99" s="471"/>
      <c r="AH99" s="473">
        <f>SUM(W99:AF99)-Z99</f>
        <v>1118</v>
      </c>
      <c r="AJ99" s="484"/>
    </row>
    <row r="100" spans="1:36" ht="12.75">
      <c r="A100" s="1417"/>
      <c r="B100" s="756" t="s">
        <v>303</v>
      </c>
      <c r="C100" s="757" t="s">
        <v>308</v>
      </c>
      <c r="D100" s="471">
        <v>0</v>
      </c>
      <c r="E100" s="471">
        <v>0</v>
      </c>
      <c r="F100" s="471">
        <v>0</v>
      </c>
      <c r="G100" s="471">
        <v>0</v>
      </c>
      <c r="H100" s="471">
        <v>0</v>
      </c>
      <c r="I100" s="471">
        <v>0</v>
      </c>
      <c r="J100" s="471">
        <v>0</v>
      </c>
      <c r="K100" s="471">
        <v>0</v>
      </c>
      <c r="L100" s="471">
        <v>994</v>
      </c>
      <c r="M100" s="471">
        <v>0</v>
      </c>
      <c r="N100" s="471">
        <v>0</v>
      </c>
      <c r="O100" s="471">
        <v>0</v>
      </c>
      <c r="P100" s="471">
        <v>0</v>
      </c>
      <c r="Q100" s="471">
        <f>AH100-R100</f>
        <v>469</v>
      </c>
      <c r="R100" s="471">
        <f>SUM(D100:O100)-E100</f>
        <v>994</v>
      </c>
      <c r="S100" s="473">
        <f>Q100+R100</f>
        <v>1463</v>
      </c>
      <c r="T100" s="1417"/>
      <c r="U100" s="756" t="s">
        <v>303</v>
      </c>
      <c r="V100" s="757" t="s">
        <v>308</v>
      </c>
      <c r="W100" s="471">
        <f>62+50</f>
        <v>112</v>
      </c>
      <c r="X100" s="471">
        <v>12</v>
      </c>
      <c r="Y100" s="471">
        <f>994+345</f>
        <v>1339</v>
      </c>
      <c r="Z100" s="471">
        <v>0</v>
      </c>
      <c r="AA100" s="471"/>
      <c r="AB100" s="471">
        <v>0</v>
      </c>
      <c r="AC100" s="471">
        <v>0</v>
      </c>
      <c r="AD100" s="471">
        <v>0</v>
      </c>
      <c r="AE100" s="471">
        <v>0</v>
      </c>
      <c r="AF100" s="471">
        <v>0</v>
      </c>
      <c r="AG100" s="471"/>
      <c r="AH100" s="473">
        <f>SUM(W100:AF100)-Z100</f>
        <v>1463</v>
      </c>
      <c r="AJ100" s="484"/>
    </row>
    <row r="101" spans="1:36" ht="12.75">
      <c r="A101" s="1417"/>
      <c r="B101" s="756" t="s">
        <v>303</v>
      </c>
      <c r="C101" s="757" t="s">
        <v>527</v>
      </c>
      <c r="D101" s="471">
        <v>0</v>
      </c>
      <c r="E101" s="471">
        <v>0</v>
      </c>
      <c r="F101" s="471">
        <v>0</v>
      </c>
      <c r="G101" s="471">
        <v>0</v>
      </c>
      <c r="H101" s="471">
        <v>0</v>
      </c>
      <c r="I101" s="471">
        <v>0</v>
      </c>
      <c r="J101" s="471">
        <v>0</v>
      </c>
      <c r="K101" s="471">
        <v>0</v>
      </c>
      <c r="L101" s="471">
        <v>994</v>
      </c>
      <c r="M101" s="471">
        <v>0</v>
      </c>
      <c r="N101" s="471">
        <v>0</v>
      </c>
      <c r="O101" s="471">
        <v>0</v>
      </c>
      <c r="P101" s="471">
        <v>0</v>
      </c>
      <c r="Q101" s="471">
        <f>AH101-R101</f>
        <v>469</v>
      </c>
      <c r="R101" s="471">
        <f>SUM(D101:O101)-E101</f>
        <v>994</v>
      </c>
      <c r="S101" s="473">
        <f>Q101+R101</f>
        <v>1463</v>
      </c>
      <c r="T101" s="1417"/>
      <c r="U101" s="756" t="s">
        <v>303</v>
      </c>
      <c r="V101" s="757" t="s">
        <v>527</v>
      </c>
      <c r="W101" s="471">
        <f>62+50</f>
        <v>112</v>
      </c>
      <c r="X101" s="471">
        <v>12</v>
      </c>
      <c r="Y101" s="471">
        <f>994+345</f>
        <v>1339</v>
      </c>
      <c r="Z101" s="471">
        <v>0</v>
      </c>
      <c r="AA101" s="471"/>
      <c r="AB101" s="471">
        <v>0</v>
      </c>
      <c r="AC101" s="471">
        <v>0</v>
      </c>
      <c r="AD101" s="471">
        <v>0</v>
      </c>
      <c r="AE101" s="471">
        <v>0</v>
      </c>
      <c r="AF101" s="471">
        <v>0</v>
      </c>
      <c r="AG101" s="471"/>
      <c r="AH101" s="473">
        <f>SUM(W101:AF101)-Z101</f>
        <v>1463</v>
      </c>
      <c r="AJ101" s="484"/>
    </row>
    <row r="102" spans="1:36" ht="12.75">
      <c r="A102" s="1417"/>
      <c r="B102" s="756" t="s">
        <v>303</v>
      </c>
      <c r="C102" s="757" t="s">
        <v>321</v>
      </c>
      <c r="D102" s="471">
        <v>8</v>
      </c>
      <c r="E102" s="471">
        <v>0</v>
      </c>
      <c r="F102" s="471">
        <v>0</v>
      </c>
      <c r="G102" s="471">
        <v>0</v>
      </c>
      <c r="H102" s="471">
        <v>0</v>
      </c>
      <c r="I102" s="471">
        <v>0</v>
      </c>
      <c r="J102" s="471">
        <v>0</v>
      </c>
      <c r="K102" s="471">
        <v>0</v>
      </c>
      <c r="L102" s="471">
        <v>994</v>
      </c>
      <c r="M102" s="471">
        <v>0</v>
      </c>
      <c r="N102" s="471">
        <v>0</v>
      </c>
      <c r="O102" s="471">
        <v>0</v>
      </c>
      <c r="P102" s="471">
        <v>0</v>
      </c>
      <c r="Q102" s="471">
        <f>AH102-R102</f>
        <v>461</v>
      </c>
      <c r="R102" s="471">
        <f>SUM(D102:O102)-E102</f>
        <v>1002</v>
      </c>
      <c r="S102" s="473">
        <f>Q102+R102</f>
        <v>1463</v>
      </c>
      <c r="T102" s="1417"/>
      <c r="U102" s="756" t="s">
        <v>303</v>
      </c>
      <c r="V102" s="757" t="s">
        <v>321</v>
      </c>
      <c r="W102" s="471">
        <v>112</v>
      </c>
      <c r="X102" s="471">
        <v>12</v>
      </c>
      <c r="Y102" s="471">
        <v>1339</v>
      </c>
      <c r="Z102" s="471">
        <v>0</v>
      </c>
      <c r="AA102" s="471"/>
      <c r="AB102" s="471">
        <v>0</v>
      </c>
      <c r="AC102" s="471">
        <v>0</v>
      </c>
      <c r="AD102" s="471">
        <v>0</v>
      </c>
      <c r="AE102" s="471">
        <v>0</v>
      </c>
      <c r="AF102" s="471">
        <v>0</v>
      </c>
      <c r="AG102" s="471"/>
      <c r="AH102" s="473">
        <f>SUM(W102:AF102)-Z102</f>
        <v>1463</v>
      </c>
      <c r="AJ102" s="484"/>
    </row>
    <row r="103" spans="1:36" s="1275" customFormat="1" ht="12.75">
      <c r="A103" s="1431" t="s">
        <v>315</v>
      </c>
      <c r="B103" s="475" t="s">
        <v>303</v>
      </c>
      <c r="C103" s="476" t="s">
        <v>873</v>
      </c>
      <c r="D103" s="474">
        <f aca="true" t="shared" si="5" ref="D103:S109">D71+D79+D87+D95</f>
        <v>23923</v>
      </c>
      <c r="E103" s="474">
        <f t="shared" si="5"/>
        <v>20125</v>
      </c>
      <c r="F103" s="474">
        <f t="shared" si="5"/>
        <v>6153</v>
      </c>
      <c r="G103" s="474">
        <f t="shared" si="5"/>
        <v>0</v>
      </c>
      <c r="H103" s="474">
        <f t="shared" si="5"/>
        <v>1240</v>
      </c>
      <c r="I103" s="474">
        <f t="shared" si="5"/>
        <v>0</v>
      </c>
      <c r="J103" s="474">
        <f t="shared" si="5"/>
        <v>0</v>
      </c>
      <c r="K103" s="474">
        <f t="shared" si="5"/>
        <v>0</v>
      </c>
      <c r="L103" s="474">
        <f t="shared" si="5"/>
        <v>0</v>
      </c>
      <c r="M103" s="474">
        <f t="shared" si="5"/>
        <v>0</v>
      </c>
      <c r="N103" s="474">
        <f t="shared" si="5"/>
        <v>0</v>
      </c>
      <c r="O103" s="474">
        <f t="shared" si="5"/>
        <v>0</v>
      </c>
      <c r="P103" s="471">
        <v>0</v>
      </c>
      <c r="Q103" s="474">
        <f t="shared" si="5"/>
        <v>90171</v>
      </c>
      <c r="R103" s="474">
        <f t="shared" si="5"/>
        <v>31316</v>
      </c>
      <c r="S103" s="478">
        <f t="shared" si="5"/>
        <v>121487</v>
      </c>
      <c r="T103" s="1431" t="s">
        <v>315</v>
      </c>
      <c r="U103" s="475" t="s">
        <v>303</v>
      </c>
      <c r="V103" s="476" t="s">
        <v>873</v>
      </c>
      <c r="W103" s="474">
        <f aca="true" t="shared" si="6" ref="W103:Z110">W71+W79+W87+W95</f>
        <v>1605</v>
      </c>
      <c r="X103" s="474">
        <f t="shared" si="6"/>
        <v>392</v>
      </c>
      <c r="Y103" s="474">
        <f t="shared" si="6"/>
        <v>114490</v>
      </c>
      <c r="Z103" s="474">
        <f t="shared" si="6"/>
        <v>57844</v>
      </c>
      <c r="AA103" s="474"/>
      <c r="AB103" s="474">
        <f aca="true" t="shared" si="7" ref="AB103:AB110">AB71+AB79+AB87+AB95</f>
        <v>0</v>
      </c>
      <c r="AC103" s="471">
        <v>0</v>
      </c>
      <c r="AD103" s="471">
        <v>0</v>
      </c>
      <c r="AE103" s="474">
        <f aca="true" t="shared" si="8" ref="AE103:AF110">AE71+AE79+AE87+AE95</f>
        <v>0</v>
      </c>
      <c r="AF103" s="474">
        <f t="shared" si="8"/>
        <v>5000</v>
      </c>
      <c r="AG103" s="474"/>
      <c r="AH103" s="478">
        <f>AH71+AH79+AH87+AH95</f>
        <v>121487</v>
      </c>
      <c r="AI103" s="481">
        <f>AI71+AI79+AI87+AI95</f>
        <v>0</v>
      </c>
      <c r="AJ103" s="474">
        <f>AJ71+AJ79+AJ87+AJ95</f>
        <v>121487</v>
      </c>
    </row>
    <row r="104" spans="1:36" s="1275" customFormat="1" ht="12.75">
      <c r="A104" s="1431"/>
      <c r="B104" s="475" t="s">
        <v>303</v>
      </c>
      <c r="C104" s="476" t="s">
        <v>304</v>
      </c>
      <c r="D104" s="474">
        <f t="shared" si="5"/>
        <v>23923</v>
      </c>
      <c r="E104" s="474">
        <f t="shared" si="5"/>
        <v>20125</v>
      </c>
      <c r="F104" s="474">
        <f t="shared" si="5"/>
        <v>6153</v>
      </c>
      <c r="G104" s="474">
        <f t="shared" si="5"/>
        <v>0</v>
      </c>
      <c r="H104" s="474">
        <f t="shared" si="5"/>
        <v>1240</v>
      </c>
      <c r="I104" s="474">
        <f t="shared" si="5"/>
        <v>0</v>
      </c>
      <c r="J104" s="474">
        <f t="shared" si="5"/>
        <v>0</v>
      </c>
      <c r="K104" s="474">
        <f t="shared" si="5"/>
        <v>0</v>
      </c>
      <c r="L104" s="474">
        <f t="shared" si="5"/>
        <v>0</v>
      </c>
      <c r="M104" s="474">
        <f t="shared" si="5"/>
        <v>0</v>
      </c>
      <c r="N104" s="474">
        <f t="shared" si="5"/>
        <v>0</v>
      </c>
      <c r="O104" s="474">
        <f t="shared" si="5"/>
        <v>0</v>
      </c>
      <c r="P104" s="471">
        <v>0</v>
      </c>
      <c r="Q104" s="474">
        <f t="shared" si="5"/>
        <v>90171</v>
      </c>
      <c r="R104" s="474">
        <f t="shared" si="5"/>
        <v>31316</v>
      </c>
      <c r="S104" s="478">
        <f t="shared" si="5"/>
        <v>121487</v>
      </c>
      <c r="T104" s="1431"/>
      <c r="U104" s="475" t="s">
        <v>303</v>
      </c>
      <c r="V104" s="476" t="s">
        <v>304</v>
      </c>
      <c r="W104" s="474">
        <f t="shared" si="6"/>
        <v>1605</v>
      </c>
      <c r="X104" s="474">
        <f t="shared" si="6"/>
        <v>392</v>
      </c>
      <c r="Y104" s="474">
        <f t="shared" si="6"/>
        <v>114490</v>
      </c>
      <c r="Z104" s="474">
        <f t="shared" si="6"/>
        <v>57844</v>
      </c>
      <c r="AA104" s="474"/>
      <c r="AB104" s="474">
        <f t="shared" si="7"/>
        <v>0</v>
      </c>
      <c r="AC104" s="471">
        <v>0</v>
      </c>
      <c r="AD104" s="471">
        <v>0</v>
      </c>
      <c r="AE104" s="474">
        <f t="shared" si="8"/>
        <v>0</v>
      </c>
      <c r="AF104" s="474">
        <f t="shared" si="8"/>
        <v>5000</v>
      </c>
      <c r="AG104" s="474"/>
      <c r="AH104" s="478">
        <f aca="true" t="shared" si="9" ref="AH104:AH110">AH72+AH80+AH88+AH96</f>
        <v>121487</v>
      </c>
      <c r="AI104" s="1275">
        <v>0</v>
      </c>
      <c r="AJ104" s="1276"/>
    </row>
    <row r="105" spans="1:36" s="1275" customFormat="1" ht="12.75">
      <c r="A105" s="1431"/>
      <c r="B105" s="475" t="s">
        <v>303</v>
      </c>
      <c r="C105" s="476" t="s">
        <v>305</v>
      </c>
      <c r="D105" s="474">
        <f t="shared" si="5"/>
        <v>23923</v>
      </c>
      <c r="E105" s="474">
        <f t="shared" si="5"/>
        <v>20125</v>
      </c>
      <c r="F105" s="474">
        <f t="shared" si="5"/>
        <v>6153</v>
      </c>
      <c r="G105" s="474">
        <f t="shared" si="5"/>
        <v>0</v>
      </c>
      <c r="H105" s="474">
        <f t="shared" si="5"/>
        <v>1240</v>
      </c>
      <c r="I105" s="474">
        <f t="shared" si="5"/>
        <v>0</v>
      </c>
      <c r="J105" s="474">
        <f t="shared" si="5"/>
        <v>0</v>
      </c>
      <c r="K105" s="474">
        <f t="shared" si="5"/>
        <v>0</v>
      </c>
      <c r="L105" s="474">
        <f t="shared" si="5"/>
        <v>4595</v>
      </c>
      <c r="M105" s="474">
        <f t="shared" si="5"/>
        <v>0</v>
      </c>
      <c r="N105" s="474">
        <f t="shared" si="5"/>
        <v>111</v>
      </c>
      <c r="O105" s="474">
        <f t="shared" si="5"/>
        <v>0</v>
      </c>
      <c r="P105" s="471">
        <v>0</v>
      </c>
      <c r="Q105" s="474">
        <f t="shared" si="5"/>
        <v>90571</v>
      </c>
      <c r="R105" s="474">
        <f t="shared" si="5"/>
        <v>36022</v>
      </c>
      <c r="S105" s="478">
        <f t="shared" si="5"/>
        <v>126593</v>
      </c>
      <c r="T105" s="1431"/>
      <c r="U105" s="475" t="s">
        <v>303</v>
      </c>
      <c r="V105" s="476" t="s">
        <v>305</v>
      </c>
      <c r="W105" s="474">
        <f t="shared" si="6"/>
        <v>2117</v>
      </c>
      <c r="X105" s="474">
        <f t="shared" si="6"/>
        <v>537</v>
      </c>
      <c r="Y105" s="474">
        <f t="shared" si="6"/>
        <v>118939</v>
      </c>
      <c r="Z105" s="474">
        <f t="shared" si="6"/>
        <v>57844</v>
      </c>
      <c r="AA105" s="474"/>
      <c r="AB105" s="474">
        <f t="shared" si="7"/>
        <v>0</v>
      </c>
      <c r="AC105" s="471">
        <v>0</v>
      </c>
      <c r="AD105" s="471">
        <v>0</v>
      </c>
      <c r="AE105" s="474">
        <f t="shared" si="8"/>
        <v>0</v>
      </c>
      <c r="AF105" s="474">
        <f t="shared" si="8"/>
        <v>5000</v>
      </c>
      <c r="AG105" s="474"/>
      <c r="AH105" s="478">
        <f t="shared" si="9"/>
        <v>126593</v>
      </c>
      <c r="AI105" s="1275">
        <v>0</v>
      </c>
      <c r="AJ105" s="1276"/>
    </row>
    <row r="106" spans="1:36" s="1275" customFormat="1" ht="12.75">
      <c r="A106" s="1431"/>
      <c r="B106" s="475" t="s">
        <v>303</v>
      </c>
      <c r="C106" s="476" t="s">
        <v>306</v>
      </c>
      <c r="D106" s="474">
        <f t="shared" si="5"/>
        <v>23923</v>
      </c>
      <c r="E106" s="474">
        <f t="shared" si="5"/>
        <v>20125</v>
      </c>
      <c r="F106" s="474">
        <f t="shared" si="5"/>
        <v>6153</v>
      </c>
      <c r="G106" s="474">
        <f t="shared" si="5"/>
        <v>0</v>
      </c>
      <c r="H106" s="474">
        <f t="shared" si="5"/>
        <v>1240</v>
      </c>
      <c r="I106" s="474">
        <f t="shared" si="5"/>
        <v>0</v>
      </c>
      <c r="J106" s="474">
        <f t="shared" si="5"/>
        <v>0</v>
      </c>
      <c r="K106" s="474">
        <f t="shared" si="5"/>
        <v>0</v>
      </c>
      <c r="L106" s="474">
        <f t="shared" si="5"/>
        <v>4595</v>
      </c>
      <c r="M106" s="474">
        <f t="shared" si="5"/>
        <v>0</v>
      </c>
      <c r="N106" s="474">
        <f t="shared" si="5"/>
        <v>111</v>
      </c>
      <c r="O106" s="474">
        <f t="shared" si="5"/>
        <v>0</v>
      </c>
      <c r="P106" s="471">
        <v>0</v>
      </c>
      <c r="Q106" s="474">
        <f t="shared" si="5"/>
        <v>88672</v>
      </c>
      <c r="R106" s="474">
        <f t="shared" si="5"/>
        <v>36022</v>
      </c>
      <c r="S106" s="478">
        <f t="shared" si="5"/>
        <v>124694</v>
      </c>
      <c r="T106" s="1431"/>
      <c r="U106" s="475" t="s">
        <v>303</v>
      </c>
      <c r="V106" s="476" t="s">
        <v>306</v>
      </c>
      <c r="W106" s="474">
        <f t="shared" si="6"/>
        <v>2167</v>
      </c>
      <c r="X106" s="474">
        <f t="shared" si="6"/>
        <v>488</v>
      </c>
      <c r="Y106" s="474">
        <f t="shared" si="6"/>
        <v>117039</v>
      </c>
      <c r="Z106" s="474">
        <f t="shared" si="6"/>
        <v>57844</v>
      </c>
      <c r="AA106" s="474"/>
      <c r="AB106" s="474">
        <f t="shared" si="7"/>
        <v>0</v>
      </c>
      <c r="AC106" s="471">
        <v>0</v>
      </c>
      <c r="AD106" s="471">
        <v>0</v>
      </c>
      <c r="AE106" s="474">
        <f t="shared" si="8"/>
        <v>0</v>
      </c>
      <c r="AF106" s="474">
        <f t="shared" si="8"/>
        <v>5000</v>
      </c>
      <c r="AG106" s="474"/>
      <c r="AH106" s="478">
        <f t="shared" si="9"/>
        <v>124694</v>
      </c>
      <c r="AJ106" s="1276"/>
    </row>
    <row r="107" spans="1:36" s="1275" customFormat="1" ht="12.75">
      <c r="A107" s="1431"/>
      <c r="B107" s="475" t="s">
        <v>303</v>
      </c>
      <c r="C107" s="476" t="s">
        <v>307</v>
      </c>
      <c r="D107" s="474">
        <f t="shared" si="5"/>
        <v>23923</v>
      </c>
      <c r="E107" s="474">
        <f t="shared" si="5"/>
        <v>20125</v>
      </c>
      <c r="F107" s="474">
        <f t="shared" si="5"/>
        <v>6153</v>
      </c>
      <c r="G107" s="474">
        <f t="shared" si="5"/>
        <v>0</v>
      </c>
      <c r="H107" s="474">
        <f t="shared" si="5"/>
        <v>959</v>
      </c>
      <c r="I107" s="474">
        <f t="shared" si="5"/>
        <v>0</v>
      </c>
      <c r="J107" s="474">
        <f t="shared" si="5"/>
        <v>0</v>
      </c>
      <c r="K107" s="474">
        <f t="shared" si="5"/>
        <v>0</v>
      </c>
      <c r="L107" s="474">
        <f t="shared" si="5"/>
        <v>4595</v>
      </c>
      <c r="M107" s="474">
        <f t="shared" si="5"/>
        <v>0</v>
      </c>
      <c r="N107" s="474">
        <f t="shared" si="5"/>
        <v>111</v>
      </c>
      <c r="O107" s="474">
        <f t="shared" si="5"/>
        <v>0</v>
      </c>
      <c r="P107" s="471">
        <v>0</v>
      </c>
      <c r="Q107" s="474">
        <f t="shared" si="5"/>
        <v>90572</v>
      </c>
      <c r="R107" s="474">
        <f t="shared" si="5"/>
        <v>35741</v>
      </c>
      <c r="S107" s="478">
        <f t="shared" si="5"/>
        <v>126313</v>
      </c>
      <c r="T107" s="1431"/>
      <c r="U107" s="475" t="s">
        <v>303</v>
      </c>
      <c r="V107" s="476" t="s">
        <v>307</v>
      </c>
      <c r="W107" s="474">
        <f t="shared" si="6"/>
        <v>2167</v>
      </c>
      <c r="X107" s="474">
        <f t="shared" si="6"/>
        <v>488</v>
      </c>
      <c r="Y107" s="474">
        <f t="shared" si="6"/>
        <v>118658</v>
      </c>
      <c r="Z107" s="474">
        <f t="shared" si="6"/>
        <v>57844</v>
      </c>
      <c r="AA107" s="474"/>
      <c r="AB107" s="474">
        <f t="shared" si="7"/>
        <v>0</v>
      </c>
      <c r="AC107" s="471">
        <v>0</v>
      </c>
      <c r="AD107" s="471">
        <v>0</v>
      </c>
      <c r="AE107" s="474">
        <f t="shared" si="8"/>
        <v>0</v>
      </c>
      <c r="AF107" s="474">
        <f t="shared" si="8"/>
        <v>5000</v>
      </c>
      <c r="AG107" s="474"/>
      <c r="AH107" s="478">
        <f t="shared" si="9"/>
        <v>126313</v>
      </c>
      <c r="AJ107" s="1276"/>
    </row>
    <row r="108" spans="1:36" s="1275" customFormat="1" ht="12.75">
      <c r="A108" s="1431"/>
      <c r="B108" s="475" t="s">
        <v>303</v>
      </c>
      <c r="C108" s="476" t="s">
        <v>308</v>
      </c>
      <c r="D108" s="474">
        <f t="shared" si="5"/>
        <v>23923</v>
      </c>
      <c r="E108" s="474">
        <f t="shared" si="5"/>
        <v>20125</v>
      </c>
      <c r="F108" s="474">
        <f t="shared" si="5"/>
        <v>6153</v>
      </c>
      <c r="G108" s="474">
        <f t="shared" si="5"/>
        <v>0</v>
      </c>
      <c r="H108" s="474">
        <f t="shared" si="5"/>
        <v>959</v>
      </c>
      <c r="I108" s="474">
        <f t="shared" si="5"/>
        <v>0</v>
      </c>
      <c r="J108" s="474">
        <f t="shared" si="5"/>
        <v>0</v>
      </c>
      <c r="K108" s="474">
        <f t="shared" si="5"/>
        <v>0</v>
      </c>
      <c r="L108" s="474">
        <f t="shared" si="5"/>
        <v>4595</v>
      </c>
      <c r="M108" s="474">
        <f t="shared" si="5"/>
        <v>0</v>
      </c>
      <c r="N108" s="474">
        <f t="shared" si="5"/>
        <v>111</v>
      </c>
      <c r="O108" s="474">
        <f t="shared" si="5"/>
        <v>0</v>
      </c>
      <c r="P108" s="471">
        <v>0</v>
      </c>
      <c r="Q108" s="474">
        <f t="shared" si="5"/>
        <v>90572</v>
      </c>
      <c r="R108" s="474">
        <f t="shared" si="5"/>
        <v>35741</v>
      </c>
      <c r="S108" s="478">
        <f t="shared" si="5"/>
        <v>126313</v>
      </c>
      <c r="T108" s="1431"/>
      <c r="U108" s="475" t="s">
        <v>303</v>
      </c>
      <c r="V108" s="476" t="s">
        <v>308</v>
      </c>
      <c r="W108" s="474">
        <f t="shared" si="6"/>
        <v>2167</v>
      </c>
      <c r="X108" s="474">
        <f t="shared" si="6"/>
        <v>488</v>
      </c>
      <c r="Y108" s="474">
        <f t="shared" si="6"/>
        <v>117595</v>
      </c>
      <c r="Z108" s="474">
        <f t="shared" si="6"/>
        <v>57844</v>
      </c>
      <c r="AA108" s="474"/>
      <c r="AB108" s="474">
        <f t="shared" si="7"/>
        <v>0</v>
      </c>
      <c r="AC108" s="471">
        <v>0</v>
      </c>
      <c r="AD108" s="471">
        <v>0</v>
      </c>
      <c r="AE108" s="474">
        <f t="shared" si="8"/>
        <v>0</v>
      </c>
      <c r="AF108" s="474">
        <f t="shared" si="8"/>
        <v>6063</v>
      </c>
      <c r="AG108" s="474"/>
      <c r="AH108" s="478">
        <f t="shared" si="9"/>
        <v>126313</v>
      </c>
      <c r="AJ108" s="1276"/>
    </row>
    <row r="109" spans="1:36" s="1275" customFormat="1" ht="12.75">
      <c r="A109" s="1431"/>
      <c r="B109" s="475" t="s">
        <v>303</v>
      </c>
      <c r="C109" s="476" t="s">
        <v>527</v>
      </c>
      <c r="D109" s="474">
        <f>D77+D85+D93+D101</f>
        <v>23923</v>
      </c>
      <c r="E109" s="474">
        <f t="shared" si="5"/>
        <v>20125</v>
      </c>
      <c r="F109" s="474">
        <f t="shared" si="5"/>
        <v>6153</v>
      </c>
      <c r="G109" s="474">
        <f t="shared" si="5"/>
        <v>0</v>
      </c>
      <c r="H109" s="474">
        <f t="shared" si="5"/>
        <v>959</v>
      </c>
      <c r="I109" s="474">
        <f t="shared" si="5"/>
        <v>0</v>
      </c>
      <c r="J109" s="474">
        <f t="shared" si="5"/>
        <v>0</v>
      </c>
      <c r="K109" s="474">
        <f t="shared" si="5"/>
        <v>0</v>
      </c>
      <c r="L109" s="474">
        <f t="shared" si="5"/>
        <v>4595</v>
      </c>
      <c r="M109" s="474">
        <f t="shared" si="5"/>
        <v>0</v>
      </c>
      <c r="N109" s="474">
        <f t="shared" si="5"/>
        <v>111</v>
      </c>
      <c r="O109" s="474">
        <f t="shared" si="5"/>
        <v>0</v>
      </c>
      <c r="P109" s="471">
        <v>0</v>
      </c>
      <c r="Q109" s="474">
        <f t="shared" si="5"/>
        <v>90572</v>
      </c>
      <c r="R109" s="474">
        <f t="shared" si="5"/>
        <v>35741</v>
      </c>
      <c r="S109" s="478">
        <f t="shared" si="5"/>
        <v>126313</v>
      </c>
      <c r="T109" s="1431"/>
      <c r="U109" s="475" t="s">
        <v>303</v>
      </c>
      <c r="V109" s="476" t="s">
        <v>527</v>
      </c>
      <c r="W109" s="474">
        <f>W77+W85+W93+W101</f>
        <v>2167</v>
      </c>
      <c r="X109" s="474">
        <f t="shared" si="6"/>
        <v>488</v>
      </c>
      <c r="Y109" s="474">
        <f t="shared" si="6"/>
        <v>117595</v>
      </c>
      <c r="Z109" s="474">
        <f t="shared" si="6"/>
        <v>57844</v>
      </c>
      <c r="AA109" s="474"/>
      <c r="AB109" s="474">
        <f t="shared" si="7"/>
        <v>0</v>
      </c>
      <c r="AC109" s="471">
        <v>0</v>
      </c>
      <c r="AD109" s="471">
        <v>0</v>
      </c>
      <c r="AE109" s="474">
        <f t="shared" si="8"/>
        <v>0</v>
      </c>
      <c r="AF109" s="474">
        <f t="shared" si="8"/>
        <v>6063</v>
      </c>
      <c r="AG109" s="474"/>
      <c r="AH109" s="478">
        <f t="shared" si="9"/>
        <v>126313</v>
      </c>
      <c r="AJ109" s="1276"/>
    </row>
    <row r="110" spans="1:36" s="1275" customFormat="1" ht="12.75">
      <c r="A110" s="1431"/>
      <c r="B110" s="475" t="s">
        <v>303</v>
      </c>
      <c r="C110" s="476" t="s">
        <v>321</v>
      </c>
      <c r="D110" s="474">
        <f aca="true" t="shared" si="10" ref="D110:S110">D78+D86+D94+D102</f>
        <v>23412</v>
      </c>
      <c r="E110" s="474">
        <f t="shared" si="10"/>
        <v>20011</v>
      </c>
      <c r="F110" s="474">
        <f t="shared" si="10"/>
        <v>5985</v>
      </c>
      <c r="G110" s="474">
        <f t="shared" si="10"/>
        <v>0</v>
      </c>
      <c r="H110" s="474">
        <f t="shared" si="10"/>
        <v>959</v>
      </c>
      <c r="I110" s="474">
        <f t="shared" si="10"/>
        <v>0</v>
      </c>
      <c r="J110" s="474">
        <f t="shared" si="10"/>
        <v>0</v>
      </c>
      <c r="K110" s="474">
        <f t="shared" si="10"/>
        <v>0</v>
      </c>
      <c r="L110" s="474">
        <f t="shared" si="10"/>
        <v>4595</v>
      </c>
      <c r="M110" s="474">
        <f t="shared" si="10"/>
        <v>0</v>
      </c>
      <c r="N110" s="474">
        <f t="shared" si="10"/>
        <v>111</v>
      </c>
      <c r="O110" s="474">
        <f t="shared" si="10"/>
        <v>0</v>
      </c>
      <c r="P110" s="471">
        <v>0</v>
      </c>
      <c r="Q110" s="474">
        <f t="shared" si="10"/>
        <v>78717</v>
      </c>
      <c r="R110" s="474">
        <f t="shared" si="10"/>
        <v>35062</v>
      </c>
      <c r="S110" s="478">
        <f t="shared" si="10"/>
        <v>113779</v>
      </c>
      <c r="T110" s="1431"/>
      <c r="U110" s="475" t="s">
        <v>303</v>
      </c>
      <c r="V110" s="476" t="s">
        <v>321</v>
      </c>
      <c r="W110" s="474">
        <f t="shared" si="6"/>
        <v>2164</v>
      </c>
      <c r="X110" s="474">
        <f t="shared" si="6"/>
        <v>486</v>
      </c>
      <c r="Y110" s="474">
        <f t="shared" si="6"/>
        <v>104965</v>
      </c>
      <c r="Z110" s="474">
        <f t="shared" si="6"/>
        <v>57269</v>
      </c>
      <c r="AA110" s="474"/>
      <c r="AB110" s="474">
        <f t="shared" si="7"/>
        <v>0</v>
      </c>
      <c r="AC110" s="471">
        <v>0</v>
      </c>
      <c r="AD110" s="471">
        <v>0</v>
      </c>
      <c r="AE110" s="474">
        <f t="shared" si="8"/>
        <v>101</v>
      </c>
      <c r="AF110" s="474">
        <f t="shared" si="8"/>
        <v>6063</v>
      </c>
      <c r="AG110" s="474"/>
      <c r="AH110" s="478">
        <f t="shared" si="9"/>
        <v>113779</v>
      </c>
      <c r="AJ110" s="1276"/>
    </row>
    <row r="111" spans="1:36" ht="12.75">
      <c r="A111" s="1417" t="s">
        <v>191</v>
      </c>
      <c r="B111" s="756" t="s">
        <v>303</v>
      </c>
      <c r="C111" s="757" t="s">
        <v>873</v>
      </c>
      <c r="D111" s="471">
        <v>25514</v>
      </c>
      <c r="E111" s="471">
        <v>19294</v>
      </c>
      <c r="F111" s="471">
        <v>6673</v>
      </c>
      <c r="G111" s="471">
        <v>0</v>
      </c>
      <c r="H111" s="471">
        <v>8640</v>
      </c>
      <c r="I111" s="471">
        <v>0</v>
      </c>
      <c r="J111" s="471">
        <v>0</v>
      </c>
      <c r="K111" s="471">
        <v>0</v>
      </c>
      <c r="L111" s="471">
        <v>0</v>
      </c>
      <c r="M111" s="471">
        <v>0</v>
      </c>
      <c r="N111" s="471">
        <v>0</v>
      </c>
      <c r="O111" s="471">
        <v>0</v>
      </c>
      <c r="P111" s="471">
        <v>0</v>
      </c>
      <c r="Q111" s="471">
        <f aca="true" t="shared" si="11" ref="Q111:Q121">AH111-R111</f>
        <v>92118</v>
      </c>
      <c r="R111" s="471">
        <f aca="true" t="shared" si="12" ref="R111:R122">SUM(D111:O111)-E111</f>
        <v>40827</v>
      </c>
      <c r="S111" s="473">
        <f aca="true" t="shared" si="13" ref="S111:S122">Q111+R111</f>
        <v>132945</v>
      </c>
      <c r="T111" s="1417" t="s">
        <v>191</v>
      </c>
      <c r="U111" s="756" t="s">
        <v>303</v>
      </c>
      <c r="V111" s="757" t="s">
        <v>873</v>
      </c>
      <c r="W111" s="471">
        <v>1005</v>
      </c>
      <c r="X111" s="471">
        <v>271</v>
      </c>
      <c r="Y111" s="471">
        <v>127269</v>
      </c>
      <c r="Z111" s="471">
        <v>47250</v>
      </c>
      <c r="AA111" s="471"/>
      <c r="AB111" s="471">
        <v>0</v>
      </c>
      <c r="AC111" s="471">
        <v>0</v>
      </c>
      <c r="AD111" s="471">
        <v>0</v>
      </c>
      <c r="AE111" s="471">
        <v>0</v>
      </c>
      <c r="AF111" s="471">
        <v>4400</v>
      </c>
      <c r="AG111" s="471"/>
      <c r="AH111" s="473">
        <f aca="true" t="shared" si="14" ref="AH111:AH122">SUM(W111:AF111)-Z111</f>
        <v>132945</v>
      </c>
      <c r="AJ111" s="484">
        <v>132945</v>
      </c>
    </row>
    <row r="112" spans="1:36" ht="12.75">
      <c r="A112" s="1417"/>
      <c r="B112" s="756" t="s">
        <v>303</v>
      </c>
      <c r="C112" s="757" t="s">
        <v>304</v>
      </c>
      <c r="D112" s="471">
        <v>25514</v>
      </c>
      <c r="E112" s="471">
        <v>19294</v>
      </c>
      <c r="F112" s="471">
        <v>6673</v>
      </c>
      <c r="G112" s="471">
        <v>0</v>
      </c>
      <c r="H112" s="471">
        <v>8640</v>
      </c>
      <c r="I112" s="471">
        <v>0</v>
      </c>
      <c r="J112" s="471">
        <v>0</v>
      </c>
      <c r="K112" s="471">
        <v>0</v>
      </c>
      <c r="L112" s="471">
        <v>0</v>
      </c>
      <c r="M112" s="471">
        <v>0</v>
      </c>
      <c r="N112" s="471">
        <v>0</v>
      </c>
      <c r="O112" s="471">
        <v>0</v>
      </c>
      <c r="P112" s="471">
        <v>0</v>
      </c>
      <c r="Q112" s="471">
        <f t="shared" si="11"/>
        <v>92118</v>
      </c>
      <c r="R112" s="471">
        <f t="shared" si="12"/>
        <v>40827</v>
      </c>
      <c r="S112" s="473">
        <f t="shared" si="13"/>
        <v>132945</v>
      </c>
      <c r="T112" s="1417"/>
      <c r="U112" s="756" t="s">
        <v>303</v>
      </c>
      <c r="V112" s="757" t="s">
        <v>304</v>
      </c>
      <c r="W112" s="471">
        <v>1005</v>
      </c>
      <c r="X112" s="471">
        <v>271</v>
      </c>
      <c r="Y112" s="471">
        <v>127269</v>
      </c>
      <c r="Z112" s="471">
        <v>47250</v>
      </c>
      <c r="AA112" s="471"/>
      <c r="AB112" s="471">
        <v>0</v>
      </c>
      <c r="AC112" s="471">
        <v>0</v>
      </c>
      <c r="AD112" s="471">
        <v>0</v>
      </c>
      <c r="AE112" s="471">
        <v>0</v>
      </c>
      <c r="AF112" s="471">
        <v>4400</v>
      </c>
      <c r="AG112" s="471"/>
      <c r="AH112" s="473">
        <f t="shared" si="14"/>
        <v>132945</v>
      </c>
      <c r="AJ112" s="484">
        <v>132945</v>
      </c>
    </row>
    <row r="113" spans="1:36" ht="12.75">
      <c r="A113" s="1417"/>
      <c r="B113" s="756" t="s">
        <v>303</v>
      </c>
      <c r="C113" s="757" t="s">
        <v>305</v>
      </c>
      <c r="D113" s="471">
        <f>25514+65</f>
        <v>25579</v>
      </c>
      <c r="E113" s="471">
        <v>19294</v>
      </c>
      <c r="F113" s="471">
        <v>6673</v>
      </c>
      <c r="G113" s="471">
        <v>0</v>
      </c>
      <c r="H113" s="471">
        <v>8640</v>
      </c>
      <c r="I113" s="471">
        <v>0</v>
      </c>
      <c r="J113" s="471">
        <v>0</v>
      </c>
      <c r="K113" s="471">
        <v>0</v>
      </c>
      <c r="L113" s="471">
        <f>6591-1188</f>
        <v>5403</v>
      </c>
      <c r="M113" s="471">
        <v>0</v>
      </c>
      <c r="N113" s="471">
        <v>873</v>
      </c>
      <c r="O113" s="471">
        <v>0</v>
      </c>
      <c r="P113" s="471">
        <v>0</v>
      </c>
      <c r="Q113" s="471">
        <f t="shared" si="11"/>
        <v>93656</v>
      </c>
      <c r="R113" s="471">
        <f t="shared" si="12"/>
        <v>47168</v>
      </c>
      <c r="S113" s="473">
        <f t="shared" si="13"/>
        <v>140824</v>
      </c>
      <c r="T113" s="1417"/>
      <c r="U113" s="756" t="s">
        <v>303</v>
      </c>
      <c r="V113" s="757" t="s">
        <v>305</v>
      </c>
      <c r="W113" s="471">
        <f>1005+716</f>
        <v>1721</v>
      </c>
      <c r="X113" s="471">
        <f>271+179</f>
        <v>450</v>
      </c>
      <c r="Y113" s="471">
        <f>127269+65+350+6569</f>
        <v>134253</v>
      </c>
      <c r="Z113" s="471">
        <v>47250</v>
      </c>
      <c r="AA113" s="471"/>
      <c r="AB113" s="471">
        <v>0</v>
      </c>
      <c r="AC113" s="471">
        <v>0</v>
      </c>
      <c r="AD113" s="471">
        <v>0</v>
      </c>
      <c r="AE113" s="471">
        <v>0</v>
      </c>
      <c r="AF113" s="471">
        <v>4400</v>
      </c>
      <c r="AG113" s="471"/>
      <c r="AH113" s="473">
        <f t="shared" si="14"/>
        <v>140824</v>
      </c>
      <c r="AJ113" s="484">
        <v>132945</v>
      </c>
    </row>
    <row r="114" spans="1:36" ht="12.75">
      <c r="A114" s="1417"/>
      <c r="B114" s="756" t="s">
        <v>303</v>
      </c>
      <c r="C114" s="757" t="s">
        <v>306</v>
      </c>
      <c r="D114" s="471">
        <f>25514+65</f>
        <v>25579</v>
      </c>
      <c r="E114" s="471">
        <v>19294</v>
      </c>
      <c r="F114" s="471">
        <v>6673</v>
      </c>
      <c r="G114" s="471">
        <v>0</v>
      </c>
      <c r="H114" s="471">
        <f>8640-8640</f>
        <v>0</v>
      </c>
      <c r="I114" s="471">
        <v>0</v>
      </c>
      <c r="J114" s="471">
        <v>0</v>
      </c>
      <c r="K114" s="471">
        <v>0</v>
      </c>
      <c r="L114" s="471">
        <f>6591-1188</f>
        <v>5403</v>
      </c>
      <c r="M114" s="471">
        <v>0</v>
      </c>
      <c r="N114" s="471">
        <v>873</v>
      </c>
      <c r="O114" s="471">
        <v>0</v>
      </c>
      <c r="P114" s="471">
        <v>0</v>
      </c>
      <c r="Q114" s="471">
        <f t="shared" si="11"/>
        <v>92445</v>
      </c>
      <c r="R114" s="471">
        <f t="shared" si="12"/>
        <v>38528</v>
      </c>
      <c r="S114" s="473">
        <f t="shared" si="13"/>
        <v>130973</v>
      </c>
      <c r="T114" s="1417"/>
      <c r="U114" s="756" t="s">
        <v>303</v>
      </c>
      <c r="V114" s="757" t="s">
        <v>306</v>
      </c>
      <c r="W114" s="471">
        <f>1005+716-158</f>
        <v>1563</v>
      </c>
      <c r="X114" s="471">
        <f>271+179-12-41</f>
        <v>397</v>
      </c>
      <c r="Y114" s="471">
        <f>127269+65+350+6569-8640-100-900-316</f>
        <v>124297</v>
      </c>
      <c r="Z114" s="471">
        <v>47250</v>
      </c>
      <c r="AA114" s="471"/>
      <c r="AB114" s="471">
        <v>0</v>
      </c>
      <c r="AC114" s="471">
        <v>316</v>
      </c>
      <c r="AD114" s="471">
        <v>0</v>
      </c>
      <c r="AE114" s="471">
        <v>0</v>
      </c>
      <c r="AF114" s="471">
        <v>4400</v>
      </c>
      <c r="AG114" s="471"/>
      <c r="AH114" s="473">
        <f t="shared" si="14"/>
        <v>130973</v>
      </c>
      <c r="AJ114" s="484"/>
    </row>
    <row r="115" spans="1:36" ht="12.75">
      <c r="A115" s="1417"/>
      <c r="B115" s="756" t="s">
        <v>303</v>
      </c>
      <c r="C115" s="757" t="s">
        <v>307</v>
      </c>
      <c r="D115" s="471">
        <f>25514+65</f>
        <v>25579</v>
      </c>
      <c r="E115" s="471">
        <v>19294</v>
      </c>
      <c r="F115" s="471">
        <v>6673</v>
      </c>
      <c r="G115" s="471">
        <v>0</v>
      </c>
      <c r="H115" s="471">
        <f>8640-8640</f>
        <v>0</v>
      </c>
      <c r="I115" s="471">
        <v>0</v>
      </c>
      <c r="J115" s="471">
        <v>0</v>
      </c>
      <c r="K115" s="471">
        <v>0</v>
      </c>
      <c r="L115" s="471">
        <f>6591-1188</f>
        <v>5403</v>
      </c>
      <c r="M115" s="471">
        <v>0</v>
      </c>
      <c r="N115" s="471">
        <v>873</v>
      </c>
      <c r="O115" s="471">
        <v>0</v>
      </c>
      <c r="P115" s="471">
        <v>0</v>
      </c>
      <c r="Q115" s="471">
        <f>AH115-R115</f>
        <v>97839</v>
      </c>
      <c r="R115" s="471">
        <f>SUM(D115:O115)-E115</f>
        <v>38528</v>
      </c>
      <c r="S115" s="473">
        <f>Q115+R115</f>
        <v>136367</v>
      </c>
      <c r="T115" s="1417"/>
      <c r="U115" s="756" t="s">
        <v>303</v>
      </c>
      <c r="V115" s="757" t="s">
        <v>307</v>
      </c>
      <c r="W115" s="471">
        <f>1005+716-158</f>
        <v>1563</v>
      </c>
      <c r="X115" s="471">
        <f>271+179-12-41</f>
        <v>397</v>
      </c>
      <c r="Y115" s="471">
        <f>127269+65+350+6569-8640-100-900-316+4494+900</f>
        <v>129691</v>
      </c>
      <c r="Z115" s="471">
        <v>47250</v>
      </c>
      <c r="AA115" s="471"/>
      <c r="AB115" s="471">
        <v>0</v>
      </c>
      <c r="AC115" s="471">
        <v>316</v>
      </c>
      <c r="AD115" s="471">
        <v>0</v>
      </c>
      <c r="AE115" s="471">
        <v>0</v>
      </c>
      <c r="AF115" s="471">
        <v>4400</v>
      </c>
      <c r="AG115" s="471"/>
      <c r="AH115" s="473">
        <f>SUM(W115:AF115)-Z115</f>
        <v>136367</v>
      </c>
      <c r="AJ115" s="484"/>
    </row>
    <row r="116" spans="1:36" ht="12.75">
      <c r="A116" s="1417"/>
      <c r="B116" s="756" t="s">
        <v>303</v>
      </c>
      <c r="C116" s="757" t="s">
        <v>308</v>
      </c>
      <c r="D116" s="471">
        <f>25514+65</f>
        <v>25579</v>
      </c>
      <c r="E116" s="471">
        <v>19294</v>
      </c>
      <c r="F116" s="471">
        <v>6673</v>
      </c>
      <c r="G116" s="471">
        <v>0</v>
      </c>
      <c r="H116" s="471">
        <v>11</v>
      </c>
      <c r="I116" s="471">
        <v>0</v>
      </c>
      <c r="J116" s="471">
        <v>0</v>
      </c>
      <c r="K116" s="471">
        <v>0</v>
      </c>
      <c r="L116" s="471">
        <f>6591-1188</f>
        <v>5403</v>
      </c>
      <c r="M116" s="471">
        <v>0</v>
      </c>
      <c r="N116" s="471">
        <v>873</v>
      </c>
      <c r="O116" s="471">
        <v>0</v>
      </c>
      <c r="P116" s="471">
        <v>0</v>
      </c>
      <c r="Q116" s="471">
        <f>AH116-R116</f>
        <v>97828</v>
      </c>
      <c r="R116" s="471">
        <f>SUM(D116:O116)-E116</f>
        <v>38539</v>
      </c>
      <c r="S116" s="473">
        <f>Q116+R116</f>
        <v>136367</v>
      </c>
      <c r="T116" s="1417"/>
      <c r="U116" s="756" t="s">
        <v>303</v>
      </c>
      <c r="V116" s="757" t="s">
        <v>308</v>
      </c>
      <c r="W116" s="471">
        <f>1005+716-158</f>
        <v>1563</v>
      </c>
      <c r="X116" s="471">
        <f>271+179-12-41</f>
        <v>397</v>
      </c>
      <c r="Y116" s="471">
        <f>127269+65+350+6569-8640-100-900-316+4494+900</f>
        <v>129691</v>
      </c>
      <c r="Z116" s="471">
        <v>47250</v>
      </c>
      <c r="AA116" s="471"/>
      <c r="AB116" s="471">
        <v>0</v>
      </c>
      <c r="AC116" s="471">
        <v>316</v>
      </c>
      <c r="AD116" s="471">
        <v>0</v>
      </c>
      <c r="AE116" s="471">
        <v>0</v>
      </c>
      <c r="AF116" s="471">
        <v>4400</v>
      </c>
      <c r="AG116" s="471"/>
      <c r="AH116" s="473">
        <f>SUM(W116:AF116)-Z116</f>
        <v>136367</v>
      </c>
      <c r="AJ116" s="484"/>
    </row>
    <row r="117" spans="1:36" ht="12.75">
      <c r="A117" s="1417"/>
      <c r="B117" s="756" t="s">
        <v>303</v>
      </c>
      <c r="C117" s="757" t="s">
        <v>527</v>
      </c>
      <c r="D117" s="471">
        <f>25514+65</f>
        <v>25579</v>
      </c>
      <c r="E117" s="471">
        <v>19294</v>
      </c>
      <c r="F117" s="471">
        <v>6673</v>
      </c>
      <c r="G117" s="471">
        <v>0</v>
      </c>
      <c r="H117" s="471">
        <v>11</v>
      </c>
      <c r="I117" s="471">
        <v>0</v>
      </c>
      <c r="J117" s="471">
        <v>0</v>
      </c>
      <c r="K117" s="471">
        <v>0</v>
      </c>
      <c r="L117" s="471">
        <f>6591-1188</f>
        <v>5403</v>
      </c>
      <c r="M117" s="471">
        <v>0</v>
      </c>
      <c r="N117" s="471">
        <v>873</v>
      </c>
      <c r="O117" s="471">
        <v>0</v>
      </c>
      <c r="P117" s="471">
        <v>0</v>
      </c>
      <c r="Q117" s="471">
        <f>AH117-R117</f>
        <v>97828</v>
      </c>
      <c r="R117" s="471">
        <f>SUM(D117:O117)-E117</f>
        <v>38539</v>
      </c>
      <c r="S117" s="473">
        <f>Q117+R117</f>
        <v>136367</v>
      </c>
      <c r="T117" s="1417"/>
      <c r="U117" s="756" t="s">
        <v>303</v>
      </c>
      <c r="V117" s="757" t="s">
        <v>527</v>
      </c>
      <c r="W117" s="471">
        <f>1005+716-158</f>
        <v>1563</v>
      </c>
      <c r="X117" s="471">
        <f>271+179-12-41</f>
        <v>397</v>
      </c>
      <c r="Y117" s="471">
        <f>127269+65+350+6569-8640-100-900-316+4494+900</f>
        <v>129691</v>
      </c>
      <c r="Z117" s="471">
        <v>47250</v>
      </c>
      <c r="AA117" s="471"/>
      <c r="AB117" s="471">
        <v>0</v>
      </c>
      <c r="AC117" s="471">
        <v>316</v>
      </c>
      <c r="AD117" s="471">
        <v>0</v>
      </c>
      <c r="AE117" s="471">
        <v>0</v>
      </c>
      <c r="AF117" s="471">
        <v>4400</v>
      </c>
      <c r="AG117" s="471"/>
      <c r="AH117" s="473">
        <f>SUM(W117:AF117)-Z117</f>
        <v>136367</v>
      </c>
      <c r="AJ117" s="484"/>
    </row>
    <row r="118" spans="1:36" ht="12.75">
      <c r="A118" s="1417"/>
      <c r="B118" s="756" t="s">
        <v>303</v>
      </c>
      <c r="C118" s="757" t="s">
        <v>321</v>
      </c>
      <c r="D118" s="471">
        <v>21490</v>
      </c>
      <c r="E118" s="471">
        <v>17406</v>
      </c>
      <c r="F118" s="471">
        <v>5708</v>
      </c>
      <c r="G118" s="471"/>
      <c r="H118" s="471">
        <v>11</v>
      </c>
      <c r="I118" s="471">
        <v>0</v>
      </c>
      <c r="J118" s="471">
        <v>0</v>
      </c>
      <c r="K118" s="471">
        <v>0</v>
      </c>
      <c r="L118" s="471">
        <v>5403</v>
      </c>
      <c r="M118" s="471"/>
      <c r="N118" s="471">
        <v>873</v>
      </c>
      <c r="O118" s="471">
        <v>0</v>
      </c>
      <c r="P118" s="471">
        <v>0</v>
      </c>
      <c r="Q118" s="471">
        <f>AH118-R118</f>
        <v>94974</v>
      </c>
      <c r="R118" s="471">
        <f>SUM(D118:O118)-E118</f>
        <v>33485</v>
      </c>
      <c r="S118" s="473">
        <f>Q118+R118</f>
        <v>128459</v>
      </c>
      <c r="T118" s="1417"/>
      <c r="U118" s="756" t="s">
        <v>303</v>
      </c>
      <c r="V118" s="757" t="s">
        <v>321</v>
      </c>
      <c r="W118" s="471">
        <v>1563</v>
      </c>
      <c r="X118" s="471">
        <v>397</v>
      </c>
      <c r="Y118" s="471">
        <v>122021</v>
      </c>
      <c r="Z118" s="471">
        <v>73579</v>
      </c>
      <c r="AA118" s="471"/>
      <c r="AB118" s="471">
        <v>0</v>
      </c>
      <c r="AC118" s="471">
        <v>316</v>
      </c>
      <c r="AD118" s="471">
        <v>0</v>
      </c>
      <c r="AE118" s="471">
        <v>0</v>
      </c>
      <c r="AF118" s="471">
        <v>4162</v>
      </c>
      <c r="AG118" s="471"/>
      <c r="AH118" s="473">
        <f>SUM(W118:AF118)-Z118</f>
        <v>128459</v>
      </c>
      <c r="AJ118" s="484"/>
    </row>
    <row r="119" spans="1:36" ht="12.75">
      <c r="A119" s="1417" t="s">
        <v>316</v>
      </c>
      <c r="B119" s="756" t="s">
        <v>303</v>
      </c>
      <c r="C119" s="757" t="s">
        <v>873</v>
      </c>
      <c r="D119" s="471">
        <v>5465</v>
      </c>
      <c r="E119" s="471">
        <v>5065</v>
      </c>
      <c r="F119" s="471">
        <v>1368</v>
      </c>
      <c r="G119" s="471">
        <v>0</v>
      </c>
      <c r="H119" s="471">
        <v>0</v>
      </c>
      <c r="I119" s="471">
        <v>0</v>
      </c>
      <c r="J119" s="471">
        <v>0</v>
      </c>
      <c r="K119" s="1277"/>
      <c r="L119" s="471">
        <v>0</v>
      </c>
      <c r="M119" s="471">
        <v>0</v>
      </c>
      <c r="N119" s="471">
        <v>0</v>
      </c>
      <c r="O119" s="471">
        <v>0</v>
      </c>
      <c r="P119" s="471">
        <v>0</v>
      </c>
      <c r="Q119" s="471">
        <f t="shared" si="11"/>
        <v>27259</v>
      </c>
      <c r="R119" s="471">
        <f t="shared" si="12"/>
        <v>6833</v>
      </c>
      <c r="S119" s="473">
        <f t="shared" si="13"/>
        <v>34092</v>
      </c>
      <c r="T119" s="1417" t="s">
        <v>316</v>
      </c>
      <c r="U119" s="756" t="s">
        <v>303</v>
      </c>
      <c r="V119" s="757" t="s">
        <v>873</v>
      </c>
      <c r="W119" s="471">
        <v>623</v>
      </c>
      <c r="X119" s="471">
        <v>163</v>
      </c>
      <c r="Y119" s="471">
        <v>33306</v>
      </c>
      <c r="Z119" s="471">
        <v>16220</v>
      </c>
      <c r="AA119" s="471"/>
      <c r="AB119" s="471">
        <v>0</v>
      </c>
      <c r="AC119" s="471">
        <v>0</v>
      </c>
      <c r="AD119" s="471">
        <v>0</v>
      </c>
      <c r="AE119" s="471">
        <v>0</v>
      </c>
      <c r="AF119" s="471">
        <v>0</v>
      </c>
      <c r="AG119" s="471"/>
      <c r="AH119" s="473">
        <f t="shared" si="14"/>
        <v>34092</v>
      </c>
      <c r="AJ119" s="484">
        <v>34092</v>
      </c>
    </row>
    <row r="120" spans="1:36" ht="12.75">
      <c r="A120" s="1417"/>
      <c r="B120" s="756" t="s">
        <v>303</v>
      </c>
      <c r="C120" s="757" t="s">
        <v>304</v>
      </c>
      <c r="D120" s="471">
        <v>5465</v>
      </c>
      <c r="E120" s="471">
        <v>5065</v>
      </c>
      <c r="F120" s="471">
        <v>1368</v>
      </c>
      <c r="G120" s="471">
        <v>0</v>
      </c>
      <c r="H120" s="471">
        <v>0</v>
      </c>
      <c r="I120" s="471">
        <v>0</v>
      </c>
      <c r="J120" s="471">
        <v>0</v>
      </c>
      <c r="K120" s="1277"/>
      <c r="L120" s="471">
        <v>0</v>
      </c>
      <c r="M120" s="471">
        <v>0</v>
      </c>
      <c r="N120" s="471">
        <v>0</v>
      </c>
      <c r="O120" s="471">
        <v>0</v>
      </c>
      <c r="P120" s="471">
        <v>0</v>
      </c>
      <c r="Q120" s="471">
        <f t="shared" si="11"/>
        <v>27259</v>
      </c>
      <c r="R120" s="471">
        <f t="shared" si="12"/>
        <v>6833</v>
      </c>
      <c r="S120" s="473">
        <f t="shared" si="13"/>
        <v>34092</v>
      </c>
      <c r="T120" s="1417"/>
      <c r="U120" s="756" t="s">
        <v>303</v>
      </c>
      <c r="V120" s="757" t="s">
        <v>304</v>
      </c>
      <c r="W120" s="471">
        <v>623</v>
      </c>
      <c r="X120" s="471">
        <v>163</v>
      </c>
      <c r="Y120" s="471">
        <v>33306</v>
      </c>
      <c r="Z120" s="471">
        <v>16220</v>
      </c>
      <c r="AA120" s="471"/>
      <c r="AB120" s="471">
        <v>0</v>
      </c>
      <c r="AC120" s="471">
        <v>0</v>
      </c>
      <c r="AD120" s="471">
        <v>0</v>
      </c>
      <c r="AE120" s="471">
        <v>0</v>
      </c>
      <c r="AF120" s="471">
        <v>0</v>
      </c>
      <c r="AG120" s="471"/>
      <c r="AH120" s="473">
        <f t="shared" si="14"/>
        <v>34092</v>
      </c>
      <c r="AJ120" s="484">
        <v>34092</v>
      </c>
    </row>
    <row r="121" spans="1:36" ht="12.75">
      <c r="A121" s="1417"/>
      <c r="B121" s="756" t="s">
        <v>303</v>
      </c>
      <c r="C121" s="757" t="s">
        <v>305</v>
      </c>
      <c r="D121" s="471">
        <v>5465</v>
      </c>
      <c r="E121" s="471">
        <v>5065</v>
      </c>
      <c r="F121" s="471">
        <v>1368</v>
      </c>
      <c r="G121" s="471">
        <v>0</v>
      </c>
      <c r="H121" s="471">
        <v>0</v>
      </c>
      <c r="I121" s="471">
        <v>0</v>
      </c>
      <c r="J121" s="471">
        <v>0</v>
      </c>
      <c r="K121" s="471">
        <v>0</v>
      </c>
      <c r="L121" s="471">
        <v>1188</v>
      </c>
      <c r="M121" s="471">
        <v>0</v>
      </c>
      <c r="N121" s="471">
        <v>0</v>
      </c>
      <c r="O121" s="471">
        <v>0</v>
      </c>
      <c r="P121" s="471">
        <v>0</v>
      </c>
      <c r="Q121" s="471">
        <f t="shared" si="11"/>
        <v>26571</v>
      </c>
      <c r="R121" s="471">
        <f t="shared" si="12"/>
        <v>8021</v>
      </c>
      <c r="S121" s="473">
        <f t="shared" si="13"/>
        <v>34592</v>
      </c>
      <c r="T121" s="1417"/>
      <c r="U121" s="756" t="s">
        <v>303</v>
      </c>
      <c r="V121" s="757" t="s">
        <v>305</v>
      </c>
      <c r="W121" s="471">
        <v>623</v>
      </c>
      <c r="X121" s="471">
        <v>163</v>
      </c>
      <c r="Y121" s="471">
        <f>33306+200+300</f>
        <v>33806</v>
      </c>
      <c r="Z121" s="471">
        <v>16220</v>
      </c>
      <c r="AA121" s="471"/>
      <c r="AB121" s="471">
        <v>0</v>
      </c>
      <c r="AC121" s="471">
        <v>0</v>
      </c>
      <c r="AD121" s="471">
        <v>0</v>
      </c>
      <c r="AE121" s="471">
        <v>0</v>
      </c>
      <c r="AF121" s="471">
        <v>0</v>
      </c>
      <c r="AG121" s="471"/>
      <c r="AH121" s="473">
        <f t="shared" si="14"/>
        <v>34592</v>
      </c>
      <c r="AJ121" s="484">
        <v>34092</v>
      </c>
    </row>
    <row r="122" spans="1:36" ht="12.75">
      <c r="A122" s="1417"/>
      <c r="B122" s="756" t="s">
        <v>303</v>
      </c>
      <c r="C122" s="757" t="s">
        <v>306</v>
      </c>
      <c r="D122" s="471">
        <v>5465</v>
      </c>
      <c r="E122" s="471">
        <v>5065</v>
      </c>
      <c r="F122" s="471">
        <v>1368</v>
      </c>
      <c r="G122" s="471">
        <v>0</v>
      </c>
      <c r="H122" s="471">
        <v>0</v>
      </c>
      <c r="I122" s="471">
        <v>0</v>
      </c>
      <c r="J122" s="471">
        <v>0</v>
      </c>
      <c r="K122" s="471">
        <v>0</v>
      </c>
      <c r="L122" s="471">
        <v>1188</v>
      </c>
      <c r="M122" s="471">
        <v>0</v>
      </c>
      <c r="N122" s="471">
        <v>0</v>
      </c>
      <c r="O122" s="471">
        <v>0</v>
      </c>
      <c r="P122" s="471">
        <v>0</v>
      </c>
      <c r="Q122" s="471">
        <f>AH122-R122</f>
        <v>26368</v>
      </c>
      <c r="R122" s="471">
        <f t="shared" si="12"/>
        <v>8021</v>
      </c>
      <c r="S122" s="473">
        <f t="shared" si="13"/>
        <v>34389</v>
      </c>
      <c r="T122" s="1417"/>
      <c r="U122" s="756" t="s">
        <v>303</v>
      </c>
      <c r="V122" s="757" t="s">
        <v>306</v>
      </c>
      <c r="W122" s="471">
        <f>623-50-189</f>
        <v>384</v>
      </c>
      <c r="X122" s="471">
        <f>163-17-47</f>
        <v>99</v>
      </c>
      <c r="Y122" s="471">
        <f>33306+200+300+100</f>
        <v>33906</v>
      </c>
      <c r="Z122" s="471">
        <v>16220</v>
      </c>
      <c r="AA122" s="471"/>
      <c r="AB122" s="471">
        <v>0</v>
      </c>
      <c r="AC122" s="471">
        <v>0</v>
      </c>
      <c r="AD122" s="471">
        <v>0</v>
      </c>
      <c r="AE122" s="471">
        <v>0</v>
      </c>
      <c r="AF122" s="471">
        <v>0</v>
      </c>
      <c r="AG122" s="471"/>
      <c r="AH122" s="473">
        <f t="shared" si="14"/>
        <v>34389</v>
      </c>
      <c r="AJ122" s="484"/>
    </row>
    <row r="123" spans="1:36" ht="12.75">
      <c r="A123" s="1417"/>
      <c r="B123" s="756" t="s">
        <v>303</v>
      </c>
      <c r="C123" s="757" t="s">
        <v>307</v>
      </c>
      <c r="D123" s="471">
        <v>5465</v>
      </c>
      <c r="E123" s="471">
        <v>5065</v>
      </c>
      <c r="F123" s="471">
        <v>1368</v>
      </c>
      <c r="G123" s="471">
        <v>0</v>
      </c>
      <c r="H123" s="471">
        <v>0</v>
      </c>
      <c r="I123" s="471">
        <v>0</v>
      </c>
      <c r="J123" s="471">
        <v>0</v>
      </c>
      <c r="K123" s="471">
        <v>0</v>
      </c>
      <c r="L123" s="471">
        <v>1188</v>
      </c>
      <c r="M123" s="471">
        <v>0</v>
      </c>
      <c r="N123" s="471">
        <v>0</v>
      </c>
      <c r="O123" s="471">
        <v>0</v>
      </c>
      <c r="P123" s="471">
        <v>0</v>
      </c>
      <c r="Q123" s="471">
        <f>AH123-R123</f>
        <v>26368</v>
      </c>
      <c r="R123" s="471">
        <f>SUM(D123:O123)-E123</f>
        <v>8021</v>
      </c>
      <c r="S123" s="473">
        <f>Q123+R123</f>
        <v>34389</v>
      </c>
      <c r="T123" s="1417"/>
      <c r="U123" s="756" t="s">
        <v>303</v>
      </c>
      <c r="V123" s="757" t="s">
        <v>307</v>
      </c>
      <c r="W123" s="471">
        <f>623-50-189</f>
        <v>384</v>
      </c>
      <c r="X123" s="471">
        <f>163-17-47</f>
        <v>99</v>
      </c>
      <c r="Y123" s="471">
        <f>33306+200+300+100</f>
        <v>33906</v>
      </c>
      <c r="Z123" s="471">
        <v>16220</v>
      </c>
      <c r="AA123" s="471"/>
      <c r="AB123" s="471">
        <v>0</v>
      </c>
      <c r="AC123" s="471">
        <v>0</v>
      </c>
      <c r="AD123" s="471">
        <v>0</v>
      </c>
      <c r="AE123" s="471">
        <v>0</v>
      </c>
      <c r="AF123" s="471">
        <v>0</v>
      </c>
      <c r="AG123" s="471"/>
      <c r="AH123" s="473">
        <f>SUM(W123:AF123)-Z123</f>
        <v>34389</v>
      </c>
      <c r="AJ123" s="484"/>
    </row>
    <row r="124" spans="1:36" ht="12.75">
      <c r="A124" s="1417"/>
      <c r="B124" s="756" t="s">
        <v>303</v>
      </c>
      <c r="C124" s="757" t="s">
        <v>308</v>
      </c>
      <c r="D124" s="471">
        <v>5465</v>
      </c>
      <c r="E124" s="471">
        <v>5065</v>
      </c>
      <c r="F124" s="471">
        <v>1368</v>
      </c>
      <c r="G124" s="471">
        <v>0</v>
      </c>
      <c r="H124" s="471">
        <v>0</v>
      </c>
      <c r="I124" s="471">
        <v>0</v>
      </c>
      <c r="J124" s="471">
        <v>0</v>
      </c>
      <c r="K124" s="471">
        <v>0</v>
      </c>
      <c r="L124" s="471">
        <v>1188</v>
      </c>
      <c r="M124" s="471">
        <v>0</v>
      </c>
      <c r="N124" s="471">
        <v>0</v>
      </c>
      <c r="O124" s="471">
        <v>0</v>
      </c>
      <c r="P124" s="471">
        <v>0</v>
      </c>
      <c r="Q124" s="471">
        <f>AH124-R124</f>
        <v>26368</v>
      </c>
      <c r="R124" s="471">
        <f>SUM(D124:O124)-E124</f>
        <v>8021</v>
      </c>
      <c r="S124" s="473">
        <f>Q124+R124</f>
        <v>34389</v>
      </c>
      <c r="T124" s="1417"/>
      <c r="U124" s="756" t="s">
        <v>303</v>
      </c>
      <c r="V124" s="757" t="s">
        <v>308</v>
      </c>
      <c r="W124" s="471">
        <f>623-50-189</f>
        <v>384</v>
      </c>
      <c r="X124" s="471">
        <f>163-17-47</f>
        <v>99</v>
      </c>
      <c r="Y124" s="471">
        <f>33306+200+300+100-821</f>
        <v>33085</v>
      </c>
      <c r="Z124" s="471">
        <v>16220</v>
      </c>
      <c r="AA124" s="471"/>
      <c r="AB124" s="471">
        <v>0</v>
      </c>
      <c r="AC124" s="471">
        <v>0</v>
      </c>
      <c r="AD124" s="471">
        <v>0</v>
      </c>
      <c r="AE124" s="471">
        <v>0</v>
      </c>
      <c r="AF124" s="471">
        <v>821</v>
      </c>
      <c r="AG124" s="471"/>
      <c r="AH124" s="473">
        <f>SUM(W124:AF124)-Z124</f>
        <v>34389</v>
      </c>
      <c r="AJ124" s="484"/>
    </row>
    <row r="125" spans="1:36" ht="12.75">
      <c r="A125" s="1417"/>
      <c r="B125" s="756" t="s">
        <v>303</v>
      </c>
      <c r="C125" s="757" t="s">
        <v>527</v>
      </c>
      <c r="D125" s="471">
        <v>5465</v>
      </c>
      <c r="E125" s="471">
        <v>5065</v>
      </c>
      <c r="F125" s="471">
        <v>1368</v>
      </c>
      <c r="G125" s="471">
        <v>0</v>
      </c>
      <c r="H125" s="471">
        <v>0</v>
      </c>
      <c r="I125" s="471">
        <v>0</v>
      </c>
      <c r="J125" s="471">
        <v>0</v>
      </c>
      <c r="K125" s="471">
        <v>0</v>
      </c>
      <c r="L125" s="471">
        <v>1188</v>
      </c>
      <c r="M125" s="471">
        <v>0</v>
      </c>
      <c r="N125" s="471">
        <v>0</v>
      </c>
      <c r="O125" s="471">
        <v>0</v>
      </c>
      <c r="P125" s="471">
        <v>0</v>
      </c>
      <c r="Q125" s="471">
        <f>AH125-R125</f>
        <v>26368</v>
      </c>
      <c r="R125" s="471">
        <f>SUM(D125:O125)-E125</f>
        <v>8021</v>
      </c>
      <c r="S125" s="473">
        <f>Q125+R125</f>
        <v>34389</v>
      </c>
      <c r="T125" s="1417"/>
      <c r="U125" s="756" t="s">
        <v>303</v>
      </c>
      <c r="V125" s="757" t="s">
        <v>527</v>
      </c>
      <c r="W125" s="471">
        <f>623-50-189</f>
        <v>384</v>
      </c>
      <c r="X125" s="471">
        <f>163-17-47</f>
        <v>99</v>
      </c>
      <c r="Y125" s="471">
        <f>33306+200+300+100-821</f>
        <v>33085</v>
      </c>
      <c r="Z125" s="471">
        <v>16220</v>
      </c>
      <c r="AA125" s="471"/>
      <c r="AB125" s="471">
        <v>0</v>
      </c>
      <c r="AC125" s="471">
        <v>0</v>
      </c>
      <c r="AD125" s="471">
        <v>0</v>
      </c>
      <c r="AE125" s="471">
        <v>0</v>
      </c>
      <c r="AF125" s="471">
        <v>821</v>
      </c>
      <c r="AG125" s="471"/>
      <c r="AH125" s="473">
        <f>SUM(W125:AF125)-Z125</f>
        <v>34389</v>
      </c>
      <c r="AJ125" s="484"/>
    </row>
    <row r="126" spans="1:36" ht="12.75">
      <c r="A126" s="1417"/>
      <c r="B126" s="756" t="s">
        <v>303</v>
      </c>
      <c r="C126" s="757" t="s">
        <v>321</v>
      </c>
      <c r="D126" s="471">
        <f>30+6431</f>
        <v>6461</v>
      </c>
      <c r="E126" s="471">
        <v>5065</v>
      </c>
      <c r="F126" s="471">
        <v>1731</v>
      </c>
      <c r="G126" s="471"/>
      <c r="H126" s="471"/>
      <c r="I126" s="471"/>
      <c r="J126" s="471"/>
      <c r="K126" s="471"/>
      <c r="L126" s="471">
        <v>1188</v>
      </c>
      <c r="M126" s="471">
        <v>0</v>
      </c>
      <c r="N126" s="471">
        <v>0</v>
      </c>
      <c r="O126" s="471">
        <v>0</v>
      </c>
      <c r="P126" s="471">
        <v>0</v>
      </c>
      <c r="Q126" s="471">
        <f>AH126-R126</f>
        <v>22275</v>
      </c>
      <c r="R126" s="471">
        <f>SUM(D126:O126)-E126</f>
        <v>9380</v>
      </c>
      <c r="S126" s="473">
        <f>Q126+R126</f>
        <v>31655</v>
      </c>
      <c r="T126" s="1417"/>
      <c r="U126" s="756" t="s">
        <v>303</v>
      </c>
      <c r="V126" s="757" t="s">
        <v>321</v>
      </c>
      <c r="W126" s="471">
        <v>384</v>
      </c>
      <c r="X126" s="471">
        <v>98</v>
      </c>
      <c r="Y126" s="471">
        <v>30352</v>
      </c>
      <c r="Z126" s="471">
        <v>16118</v>
      </c>
      <c r="AA126" s="471"/>
      <c r="AB126" s="471">
        <v>0</v>
      </c>
      <c r="AC126" s="471">
        <v>0</v>
      </c>
      <c r="AD126" s="471">
        <v>0</v>
      </c>
      <c r="AE126" s="471">
        <v>0</v>
      </c>
      <c r="AF126" s="471">
        <v>821</v>
      </c>
      <c r="AG126" s="471"/>
      <c r="AH126" s="473">
        <f>SUM(W126:AF126)-Z126</f>
        <v>31655</v>
      </c>
      <c r="AJ126" s="484"/>
    </row>
    <row r="127" spans="1:36" s="1275" customFormat="1" ht="12.75">
      <c r="A127" s="1431" t="s">
        <v>317</v>
      </c>
      <c r="B127" s="475" t="s">
        <v>303</v>
      </c>
      <c r="C127" s="476" t="s">
        <v>873</v>
      </c>
      <c r="D127" s="474">
        <f aca="true" t="shared" si="15" ref="D127:S134">D111+D119</f>
        <v>30979</v>
      </c>
      <c r="E127" s="474">
        <f t="shared" si="15"/>
        <v>24359</v>
      </c>
      <c r="F127" s="474">
        <f t="shared" si="15"/>
        <v>8041</v>
      </c>
      <c r="G127" s="474">
        <f t="shared" si="15"/>
        <v>0</v>
      </c>
      <c r="H127" s="474">
        <f t="shared" si="15"/>
        <v>8640</v>
      </c>
      <c r="I127" s="474">
        <f t="shared" si="15"/>
        <v>0</v>
      </c>
      <c r="J127" s="474">
        <f t="shared" si="15"/>
        <v>0</v>
      </c>
      <c r="K127" s="474">
        <f>K111+L119</f>
        <v>0</v>
      </c>
      <c r="L127" s="474">
        <f>L111+L119</f>
        <v>0</v>
      </c>
      <c r="M127" s="474">
        <f t="shared" si="15"/>
        <v>0</v>
      </c>
      <c r="N127" s="474">
        <f t="shared" si="15"/>
        <v>0</v>
      </c>
      <c r="O127" s="474">
        <f t="shared" si="15"/>
        <v>0</v>
      </c>
      <c r="P127" s="471">
        <v>0</v>
      </c>
      <c r="Q127" s="474">
        <f t="shared" si="15"/>
        <v>119377</v>
      </c>
      <c r="R127" s="474">
        <f t="shared" si="15"/>
        <v>47660</v>
      </c>
      <c r="S127" s="478">
        <f t="shared" si="15"/>
        <v>167037</v>
      </c>
      <c r="T127" s="1431" t="s">
        <v>317</v>
      </c>
      <c r="U127" s="475" t="s">
        <v>303</v>
      </c>
      <c r="V127" s="476" t="s">
        <v>873</v>
      </c>
      <c r="W127" s="474">
        <f aca="true" t="shared" si="16" ref="W127:Z134">W111+W119</f>
        <v>1628</v>
      </c>
      <c r="X127" s="474">
        <f t="shared" si="16"/>
        <v>434</v>
      </c>
      <c r="Y127" s="474">
        <f t="shared" si="16"/>
        <v>160575</v>
      </c>
      <c r="Z127" s="474">
        <f t="shared" si="16"/>
        <v>63470</v>
      </c>
      <c r="AA127" s="474"/>
      <c r="AB127" s="474">
        <f aca="true" t="shared" si="17" ref="AB127:AF142">AB111+AB119</f>
        <v>0</v>
      </c>
      <c r="AC127" s="474">
        <f t="shared" si="17"/>
        <v>0</v>
      </c>
      <c r="AD127" s="474">
        <f t="shared" si="17"/>
        <v>0</v>
      </c>
      <c r="AE127" s="474">
        <f t="shared" si="17"/>
        <v>0</v>
      </c>
      <c r="AF127" s="474">
        <f t="shared" si="17"/>
        <v>4400</v>
      </c>
      <c r="AG127" s="474"/>
      <c r="AH127" s="478">
        <f aca="true" t="shared" si="18" ref="AH127:AH134">AH111+AH119</f>
        <v>167037</v>
      </c>
      <c r="AJ127" s="484">
        <v>167037</v>
      </c>
    </row>
    <row r="128" spans="1:36" s="1275" customFormat="1" ht="12.75">
      <c r="A128" s="1431"/>
      <c r="B128" s="475" t="s">
        <v>303</v>
      </c>
      <c r="C128" s="476" t="s">
        <v>304</v>
      </c>
      <c r="D128" s="474">
        <f t="shared" si="15"/>
        <v>30979</v>
      </c>
      <c r="E128" s="474">
        <f t="shared" si="15"/>
        <v>24359</v>
      </c>
      <c r="F128" s="474">
        <f t="shared" si="15"/>
        <v>8041</v>
      </c>
      <c r="G128" s="474">
        <f t="shared" si="15"/>
        <v>0</v>
      </c>
      <c r="H128" s="474">
        <f t="shared" si="15"/>
        <v>8640</v>
      </c>
      <c r="I128" s="474">
        <f t="shared" si="15"/>
        <v>0</v>
      </c>
      <c r="J128" s="474">
        <f t="shared" si="15"/>
        <v>0</v>
      </c>
      <c r="K128" s="474">
        <f>K112+L120</f>
        <v>0</v>
      </c>
      <c r="L128" s="474">
        <f>L112+L120</f>
        <v>0</v>
      </c>
      <c r="M128" s="474">
        <f t="shared" si="15"/>
        <v>0</v>
      </c>
      <c r="N128" s="474">
        <f t="shared" si="15"/>
        <v>0</v>
      </c>
      <c r="O128" s="474">
        <f t="shared" si="15"/>
        <v>0</v>
      </c>
      <c r="P128" s="471">
        <v>0</v>
      </c>
      <c r="Q128" s="474">
        <f t="shared" si="15"/>
        <v>119377</v>
      </c>
      <c r="R128" s="474">
        <f t="shared" si="15"/>
        <v>47660</v>
      </c>
      <c r="S128" s="478">
        <f t="shared" si="15"/>
        <v>167037</v>
      </c>
      <c r="T128" s="1431"/>
      <c r="U128" s="475" t="s">
        <v>303</v>
      </c>
      <c r="V128" s="476" t="s">
        <v>304</v>
      </c>
      <c r="W128" s="474">
        <f t="shared" si="16"/>
        <v>1628</v>
      </c>
      <c r="X128" s="474">
        <f t="shared" si="16"/>
        <v>434</v>
      </c>
      <c r="Y128" s="474">
        <f t="shared" si="16"/>
        <v>160575</v>
      </c>
      <c r="Z128" s="474">
        <f t="shared" si="16"/>
        <v>63470</v>
      </c>
      <c r="AA128" s="474"/>
      <c r="AB128" s="474">
        <f t="shared" si="17"/>
        <v>0</v>
      </c>
      <c r="AC128" s="474">
        <f t="shared" si="17"/>
        <v>0</v>
      </c>
      <c r="AD128" s="474">
        <f t="shared" si="17"/>
        <v>0</v>
      </c>
      <c r="AE128" s="474">
        <f t="shared" si="17"/>
        <v>0</v>
      </c>
      <c r="AF128" s="474">
        <f t="shared" si="17"/>
        <v>4400</v>
      </c>
      <c r="AG128" s="474"/>
      <c r="AH128" s="478">
        <f t="shared" si="18"/>
        <v>167037</v>
      </c>
      <c r="AJ128" s="1276">
        <v>167037</v>
      </c>
    </row>
    <row r="129" spans="1:36" s="1275" customFormat="1" ht="12.75">
      <c r="A129" s="1431"/>
      <c r="B129" s="475" t="s">
        <v>303</v>
      </c>
      <c r="C129" s="476" t="s">
        <v>305</v>
      </c>
      <c r="D129" s="474">
        <f t="shared" si="15"/>
        <v>31044</v>
      </c>
      <c r="E129" s="474">
        <f t="shared" si="15"/>
        <v>24359</v>
      </c>
      <c r="F129" s="474">
        <f t="shared" si="15"/>
        <v>8041</v>
      </c>
      <c r="G129" s="474">
        <f t="shared" si="15"/>
        <v>0</v>
      </c>
      <c r="H129" s="474">
        <f t="shared" si="15"/>
        <v>8640</v>
      </c>
      <c r="I129" s="474">
        <f t="shared" si="15"/>
        <v>0</v>
      </c>
      <c r="J129" s="474">
        <f t="shared" si="15"/>
        <v>0</v>
      </c>
      <c r="K129" s="474">
        <f t="shared" si="15"/>
        <v>0</v>
      </c>
      <c r="L129" s="474">
        <f t="shared" si="15"/>
        <v>6591</v>
      </c>
      <c r="M129" s="474">
        <f t="shared" si="15"/>
        <v>0</v>
      </c>
      <c r="N129" s="474">
        <f t="shared" si="15"/>
        <v>873</v>
      </c>
      <c r="O129" s="474">
        <f t="shared" si="15"/>
        <v>0</v>
      </c>
      <c r="P129" s="471">
        <v>0</v>
      </c>
      <c r="Q129" s="474">
        <f t="shared" si="15"/>
        <v>120227</v>
      </c>
      <c r="R129" s="474">
        <f t="shared" si="15"/>
        <v>55189</v>
      </c>
      <c r="S129" s="478">
        <f t="shared" si="15"/>
        <v>175416</v>
      </c>
      <c r="T129" s="1431"/>
      <c r="U129" s="475" t="s">
        <v>303</v>
      </c>
      <c r="V129" s="476" t="s">
        <v>305</v>
      </c>
      <c r="W129" s="474">
        <f t="shared" si="16"/>
        <v>2344</v>
      </c>
      <c r="X129" s="474">
        <f t="shared" si="16"/>
        <v>613</v>
      </c>
      <c r="Y129" s="474">
        <f t="shared" si="16"/>
        <v>168059</v>
      </c>
      <c r="Z129" s="474">
        <f t="shared" si="16"/>
        <v>63470</v>
      </c>
      <c r="AA129" s="474"/>
      <c r="AB129" s="474">
        <f t="shared" si="17"/>
        <v>0</v>
      </c>
      <c r="AC129" s="474">
        <f t="shared" si="17"/>
        <v>0</v>
      </c>
      <c r="AD129" s="474">
        <f t="shared" si="17"/>
        <v>0</v>
      </c>
      <c r="AE129" s="474">
        <f t="shared" si="17"/>
        <v>0</v>
      </c>
      <c r="AF129" s="474">
        <f t="shared" si="17"/>
        <v>4400</v>
      </c>
      <c r="AG129" s="474"/>
      <c r="AH129" s="478">
        <f t="shared" si="18"/>
        <v>175416</v>
      </c>
      <c r="AJ129" s="1276">
        <v>167037</v>
      </c>
    </row>
    <row r="130" spans="1:36" s="1275" customFormat="1" ht="12.75">
      <c r="A130" s="1431"/>
      <c r="B130" s="475" t="s">
        <v>303</v>
      </c>
      <c r="C130" s="476" t="s">
        <v>306</v>
      </c>
      <c r="D130" s="474">
        <f t="shared" si="15"/>
        <v>31044</v>
      </c>
      <c r="E130" s="474">
        <f t="shared" si="15"/>
        <v>24359</v>
      </c>
      <c r="F130" s="474">
        <f t="shared" si="15"/>
        <v>8041</v>
      </c>
      <c r="G130" s="474">
        <f t="shared" si="15"/>
        <v>0</v>
      </c>
      <c r="H130" s="474">
        <f t="shared" si="15"/>
        <v>0</v>
      </c>
      <c r="I130" s="474">
        <f t="shared" si="15"/>
        <v>0</v>
      </c>
      <c r="J130" s="474">
        <f t="shared" si="15"/>
        <v>0</v>
      </c>
      <c r="K130" s="474">
        <f t="shared" si="15"/>
        <v>0</v>
      </c>
      <c r="L130" s="474">
        <f t="shared" si="15"/>
        <v>6591</v>
      </c>
      <c r="M130" s="474">
        <f t="shared" si="15"/>
        <v>0</v>
      </c>
      <c r="N130" s="474">
        <f t="shared" si="15"/>
        <v>873</v>
      </c>
      <c r="O130" s="474">
        <f t="shared" si="15"/>
        <v>0</v>
      </c>
      <c r="P130" s="471">
        <v>0</v>
      </c>
      <c r="Q130" s="474">
        <f t="shared" si="15"/>
        <v>118813</v>
      </c>
      <c r="R130" s="474">
        <f t="shared" si="15"/>
        <v>46549</v>
      </c>
      <c r="S130" s="478">
        <f t="shared" si="15"/>
        <v>165362</v>
      </c>
      <c r="T130" s="1431"/>
      <c r="U130" s="475" t="s">
        <v>303</v>
      </c>
      <c r="V130" s="476" t="s">
        <v>306</v>
      </c>
      <c r="W130" s="474">
        <f t="shared" si="16"/>
        <v>1947</v>
      </c>
      <c r="X130" s="474">
        <f t="shared" si="16"/>
        <v>496</v>
      </c>
      <c r="Y130" s="474">
        <f t="shared" si="16"/>
        <v>158203</v>
      </c>
      <c r="Z130" s="474">
        <f t="shared" si="16"/>
        <v>63470</v>
      </c>
      <c r="AA130" s="474"/>
      <c r="AB130" s="474">
        <f t="shared" si="17"/>
        <v>0</v>
      </c>
      <c r="AC130" s="474">
        <f t="shared" si="17"/>
        <v>316</v>
      </c>
      <c r="AD130" s="474">
        <f t="shared" si="17"/>
        <v>0</v>
      </c>
      <c r="AE130" s="474">
        <f t="shared" si="17"/>
        <v>0</v>
      </c>
      <c r="AF130" s="474">
        <f t="shared" si="17"/>
        <v>4400</v>
      </c>
      <c r="AG130" s="474"/>
      <c r="AH130" s="478">
        <f t="shared" si="18"/>
        <v>165362</v>
      </c>
      <c r="AJ130" s="1276"/>
    </row>
    <row r="131" spans="1:36" s="1275" customFormat="1" ht="12.75">
      <c r="A131" s="1431"/>
      <c r="B131" s="475" t="s">
        <v>303</v>
      </c>
      <c r="C131" s="476" t="s">
        <v>307</v>
      </c>
      <c r="D131" s="474">
        <f t="shared" si="15"/>
        <v>31044</v>
      </c>
      <c r="E131" s="474">
        <f t="shared" si="15"/>
        <v>24359</v>
      </c>
      <c r="F131" s="474">
        <f t="shared" si="15"/>
        <v>8041</v>
      </c>
      <c r="G131" s="474">
        <f t="shared" si="15"/>
        <v>0</v>
      </c>
      <c r="H131" s="474">
        <f t="shared" si="15"/>
        <v>0</v>
      </c>
      <c r="I131" s="474">
        <f t="shared" si="15"/>
        <v>0</v>
      </c>
      <c r="J131" s="474">
        <f t="shared" si="15"/>
        <v>0</v>
      </c>
      <c r="K131" s="474">
        <f t="shared" si="15"/>
        <v>0</v>
      </c>
      <c r="L131" s="474">
        <f t="shared" si="15"/>
        <v>6591</v>
      </c>
      <c r="M131" s="474">
        <f t="shared" si="15"/>
        <v>0</v>
      </c>
      <c r="N131" s="474">
        <f t="shared" si="15"/>
        <v>873</v>
      </c>
      <c r="O131" s="474">
        <f t="shared" si="15"/>
        <v>0</v>
      </c>
      <c r="P131" s="471">
        <v>0</v>
      </c>
      <c r="Q131" s="474">
        <f t="shared" si="15"/>
        <v>124207</v>
      </c>
      <c r="R131" s="474">
        <f t="shared" si="15"/>
        <v>46549</v>
      </c>
      <c r="S131" s="478">
        <f t="shared" si="15"/>
        <v>170756</v>
      </c>
      <c r="T131" s="1431"/>
      <c r="U131" s="475" t="s">
        <v>303</v>
      </c>
      <c r="V131" s="476" t="s">
        <v>307</v>
      </c>
      <c r="W131" s="474">
        <f t="shared" si="16"/>
        <v>1947</v>
      </c>
      <c r="X131" s="474">
        <f t="shared" si="16"/>
        <v>496</v>
      </c>
      <c r="Y131" s="474">
        <f t="shared" si="16"/>
        <v>163597</v>
      </c>
      <c r="Z131" s="474">
        <f t="shared" si="16"/>
        <v>63470</v>
      </c>
      <c r="AA131" s="474"/>
      <c r="AB131" s="474">
        <f t="shared" si="17"/>
        <v>0</v>
      </c>
      <c r="AC131" s="474">
        <f t="shared" si="17"/>
        <v>316</v>
      </c>
      <c r="AD131" s="474">
        <f t="shared" si="17"/>
        <v>0</v>
      </c>
      <c r="AE131" s="474">
        <f t="shared" si="17"/>
        <v>0</v>
      </c>
      <c r="AF131" s="474">
        <f t="shared" si="17"/>
        <v>4400</v>
      </c>
      <c r="AG131" s="474"/>
      <c r="AH131" s="478">
        <f t="shared" si="18"/>
        <v>170756</v>
      </c>
      <c r="AJ131" s="1276"/>
    </row>
    <row r="132" spans="1:36" s="1275" customFormat="1" ht="12.75">
      <c r="A132" s="1431"/>
      <c r="B132" s="475" t="s">
        <v>303</v>
      </c>
      <c r="C132" s="476" t="s">
        <v>308</v>
      </c>
      <c r="D132" s="474">
        <f t="shared" si="15"/>
        <v>31044</v>
      </c>
      <c r="E132" s="474">
        <f t="shared" si="15"/>
        <v>24359</v>
      </c>
      <c r="F132" s="474">
        <f t="shared" si="15"/>
        <v>8041</v>
      </c>
      <c r="G132" s="474">
        <f t="shared" si="15"/>
        <v>0</v>
      </c>
      <c r="H132" s="474">
        <f t="shared" si="15"/>
        <v>11</v>
      </c>
      <c r="I132" s="474">
        <f t="shared" si="15"/>
        <v>0</v>
      </c>
      <c r="J132" s="474">
        <f t="shared" si="15"/>
        <v>0</v>
      </c>
      <c r="K132" s="474">
        <f t="shared" si="15"/>
        <v>0</v>
      </c>
      <c r="L132" s="474">
        <f t="shared" si="15"/>
        <v>6591</v>
      </c>
      <c r="M132" s="474">
        <f t="shared" si="15"/>
        <v>0</v>
      </c>
      <c r="N132" s="474">
        <f t="shared" si="15"/>
        <v>873</v>
      </c>
      <c r="O132" s="474">
        <f t="shared" si="15"/>
        <v>0</v>
      </c>
      <c r="P132" s="471">
        <v>0</v>
      </c>
      <c r="Q132" s="474">
        <f t="shared" si="15"/>
        <v>124196</v>
      </c>
      <c r="R132" s="474">
        <f t="shared" si="15"/>
        <v>46560</v>
      </c>
      <c r="S132" s="478">
        <f t="shared" si="15"/>
        <v>170756</v>
      </c>
      <c r="T132" s="1431"/>
      <c r="U132" s="475" t="s">
        <v>303</v>
      </c>
      <c r="V132" s="476" t="s">
        <v>308</v>
      </c>
      <c r="W132" s="474">
        <f t="shared" si="16"/>
        <v>1947</v>
      </c>
      <c r="X132" s="474">
        <f t="shared" si="16"/>
        <v>496</v>
      </c>
      <c r="Y132" s="474">
        <f t="shared" si="16"/>
        <v>162776</v>
      </c>
      <c r="Z132" s="474">
        <f t="shared" si="16"/>
        <v>63470</v>
      </c>
      <c r="AA132" s="474"/>
      <c r="AB132" s="474">
        <f t="shared" si="17"/>
        <v>0</v>
      </c>
      <c r="AC132" s="474">
        <f t="shared" si="17"/>
        <v>316</v>
      </c>
      <c r="AD132" s="474">
        <f t="shared" si="17"/>
        <v>0</v>
      </c>
      <c r="AE132" s="474">
        <f t="shared" si="17"/>
        <v>0</v>
      </c>
      <c r="AF132" s="474">
        <f t="shared" si="17"/>
        <v>5221</v>
      </c>
      <c r="AG132" s="474"/>
      <c r="AH132" s="478">
        <f t="shared" si="18"/>
        <v>170756</v>
      </c>
      <c r="AJ132" s="1276"/>
    </row>
    <row r="133" spans="1:36" s="1275" customFormat="1" ht="12.75">
      <c r="A133" s="1431"/>
      <c r="B133" s="475" t="s">
        <v>303</v>
      </c>
      <c r="C133" s="476" t="s">
        <v>527</v>
      </c>
      <c r="D133" s="474">
        <f>D117+D125</f>
        <v>31044</v>
      </c>
      <c r="E133" s="474">
        <f t="shared" si="15"/>
        <v>24359</v>
      </c>
      <c r="F133" s="474">
        <f t="shared" si="15"/>
        <v>8041</v>
      </c>
      <c r="G133" s="474">
        <f t="shared" si="15"/>
        <v>0</v>
      </c>
      <c r="H133" s="474">
        <f t="shared" si="15"/>
        <v>11</v>
      </c>
      <c r="I133" s="474">
        <f t="shared" si="15"/>
        <v>0</v>
      </c>
      <c r="J133" s="474">
        <f t="shared" si="15"/>
        <v>0</v>
      </c>
      <c r="K133" s="474">
        <f t="shared" si="15"/>
        <v>0</v>
      </c>
      <c r="L133" s="474">
        <f t="shared" si="15"/>
        <v>6591</v>
      </c>
      <c r="M133" s="474">
        <f t="shared" si="15"/>
        <v>0</v>
      </c>
      <c r="N133" s="474">
        <f t="shared" si="15"/>
        <v>873</v>
      </c>
      <c r="O133" s="474">
        <f t="shared" si="15"/>
        <v>0</v>
      </c>
      <c r="P133" s="471">
        <v>0</v>
      </c>
      <c r="Q133" s="474">
        <f t="shared" si="15"/>
        <v>124196</v>
      </c>
      <c r="R133" s="474">
        <f t="shared" si="15"/>
        <v>46560</v>
      </c>
      <c r="S133" s="478">
        <f t="shared" si="15"/>
        <v>170756</v>
      </c>
      <c r="T133" s="1431"/>
      <c r="U133" s="475" t="s">
        <v>303</v>
      </c>
      <c r="V133" s="476" t="s">
        <v>527</v>
      </c>
      <c r="W133" s="474">
        <f t="shared" si="16"/>
        <v>1947</v>
      </c>
      <c r="X133" s="474">
        <f t="shared" si="16"/>
        <v>496</v>
      </c>
      <c r="Y133" s="474">
        <f t="shared" si="16"/>
        <v>162776</v>
      </c>
      <c r="Z133" s="474">
        <f t="shared" si="16"/>
        <v>63470</v>
      </c>
      <c r="AA133" s="474"/>
      <c r="AB133" s="474">
        <f>AB117+AB125</f>
        <v>0</v>
      </c>
      <c r="AC133" s="474">
        <f t="shared" si="17"/>
        <v>316</v>
      </c>
      <c r="AD133" s="474">
        <f t="shared" si="17"/>
        <v>0</v>
      </c>
      <c r="AE133" s="474">
        <f>AE117+AE125</f>
        <v>0</v>
      </c>
      <c r="AF133" s="474">
        <f>AF117+AF125</f>
        <v>5221</v>
      </c>
      <c r="AG133" s="474"/>
      <c r="AH133" s="478">
        <f t="shared" si="18"/>
        <v>170756</v>
      </c>
      <c r="AJ133" s="1276"/>
    </row>
    <row r="134" spans="1:36" s="1275" customFormat="1" ht="12.75">
      <c r="A134" s="1431"/>
      <c r="B134" s="475" t="s">
        <v>303</v>
      </c>
      <c r="C134" s="476" t="s">
        <v>321</v>
      </c>
      <c r="D134" s="474">
        <f>D118+D126</f>
        <v>27951</v>
      </c>
      <c r="E134" s="474">
        <f t="shared" si="15"/>
        <v>22471</v>
      </c>
      <c r="F134" s="474">
        <f t="shared" si="15"/>
        <v>7439</v>
      </c>
      <c r="G134" s="474">
        <f t="shared" si="15"/>
        <v>0</v>
      </c>
      <c r="H134" s="474">
        <f t="shared" si="15"/>
        <v>11</v>
      </c>
      <c r="I134" s="474">
        <f t="shared" si="15"/>
        <v>0</v>
      </c>
      <c r="J134" s="474">
        <f t="shared" si="15"/>
        <v>0</v>
      </c>
      <c r="K134" s="474">
        <f t="shared" si="15"/>
        <v>0</v>
      </c>
      <c r="L134" s="474">
        <f t="shared" si="15"/>
        <v>6591</v>
      </c>
      <c r="M134" s="474">
        <f t="shared" si="15"/>
        <v>0</v>
      </c>
      <c r="N134" s="474">
        <f t="shared" si="15"/>
        <v>873</v>
      </c>
      <c r="O134" s="474">
        <f t="shared" si="15"/>
        <v>0</v>
      </c>
      <c r="P134" s="471">
        <v>0</v>
      </c>
      <c r="Q134" s="474">
        <f t="shared" si="15"/>
        <v>117249</v>
      </c>
      <c r="R134" s="474">
        <f t="shared" si="15"/>
        <v>42865</v>
      </c>
      <c r="S134" s="478">
        <f t="shared" si="15"/>
        <v>160114</v>
      </c>
      <c r="T134" s="1431"/>
      <c r="U134" s="475" t="s">
        <v>303</v>
      </c>
      <c r="V134" s="476" t="s">
        <v>321</v>
      </c>
      <c r="W134" s="474">
        <f t="shared" si="16"/>
        <v>1947</v>
      </c>
      <c r="X134" s="474">
        <f t="shared" si="16"/>
        <v>495</v>
      </c>
      <c r="Y134" s="474">
        <f t="shared" si="16"/>
        <v>152373</v>
      </c>
      <c r="Z134" s="474">
        <f t="shared" si="16"/>
        <v>89697</v>
      </c>
      <c r="AA134" s="474"/>
      <c r="AB134" s="474">
        <f>AB118+AB126</f>
        <v>0</v>
      </c>
      <c r="AC134" s="474">
        <f t="shared" si="17"/>
        <v>316</v>
      </c>
      <c r="AD134" s="474">
        <f t="shared" si="17"/>
        <v>0</v>
      </c>
      <c r="AE134" s="474">
        <f>AE118+AE126</f>
        <v>0</v>
      </c>
      <c r="AF134" s="474">
        <f>AF118+AF126</f>
        <v>4983</v>
      </c>
      <c r="AG134" s="474"/>
      <c r="AH134" s="478">
        <f t="shared" si="18"/>
        <v>160114</v>
      </c>
      <c r="AJ134" s="1276"/>
    </row>
    <row r="135" spans="1:36" ht="12.75">
      <c r="A135" s="1417" t="s">
        <v>318</v>
      </c>
      <c r="B135" s="756" t="s">
        <v>303</v>
      </c>
      <c r="C135" s="757" t="s">
        <v>873</v>
      </c>
      <c r="D135" s="471">
        <v>6720</v>
      </c>
      <c r="E135" s="471">
        <v>0</v>
      </c>
      <c r="F135" s="471">
        <v>0</v>
      </c>
      <c r="G135" s="471">
        <v>0</v>
      </c>
      <c r="H135" s="471">
        <v>0</v>
      </c>
      <c r="I135" s="471">
        <v>0</v>
      </c>
      <c r="J135" s="471">
        <v>0</v>
      </c>
      <c r="K135" s="471">
        <v>0</v>
      </c>
      <c r="L135" s="471">
        <v>0</v>
      </c>
      <c r="M135" s="471">
        <v>0</v>
      </c>
      <c r="N135" s="471">
        <v>0</v>
      </c>
      <c r="O135" s="471">
        <v>0</v>
      </c>
      <c r="P135" s="471">
        <v>0</v>
      </c>
      <c r="Q135" s="471">
        <f aca="true" t="shared" si="19" ref="Q135:Q151">AH135-R135</f>
        <v>535</v>
      </c>
      <c r="R135" s="471">
        <f aca="true" t="shared" si="20" ref="R135:R160">SUM(D135:O135)-E135</f>
        <v>6720</v>
      </c>
      <c r="S135" s="473">
        <f aca="true" t="shared" si="21" ref="S135:S160">Q135+R135</f>
        <v>7255</v>
      </c>
      <c r="T135" s="1417" t="s">
        <v>318</v>
      </c>
      <c r="U135" s="756" t="s">
        <v>303</v>
      </c>
      <c r="V135" s="757" t="s">
        <v>873</v>
      </c>
      <c r="W135" s="471">
        <v>229</v>
      </c>
      <c r="X135" s="471">
        <v>62</v>
      </c>
      <c r="Y135" s="471">
        <v>4864</v>
      </c>
      <c r="Z135" s="471">
        <v>0</v>
      </c>
      <c r="AA135" s="471"/>
      <c r="AB135" s="471">
        <v>0</v>
      </c>
      <c r="AC135" s="471">
        <v>0</v>
      </c>
      <c r="AD135" s="474">
        <f t="shared" si="17"/>
        <v>0</v>
      </c>
      <c r="AE135" s="471">
        <v>2100</v>
      </c>
      <c r="AF135" s="471">
        <v>0</v>
      </c>
      <c r="AG135" s="471"/>
      <c r="AH135" s="473">
        <f aca="true" t="shared" si="22" ref="AH135:AH160">SUM(W135:AF135)-Z135</f>
        <v>7255</v>
      </c>
      <c r="AJ135" s="484">
        <v>7255</v>
      </c>
    </row>
    <row r="136" spans="1:36" ht="12.75">
      <c r="A136" s="1417"/>
      <c r="B136" s="756" t="s">
        <v>303</v>
      </c>
      <c r="C136" s="757" t="s">
        <v>304</v>
      </c>
      <c r="D136" s="471">
        <v>6720</v>
      </c>
      <c r="E136" s="471">
        <v>0</v>
      </c>
      <c r="F136" s="471">
        <v>0</v>
      </c>
      <c r="G136" s="471">
        <v>0</v>
      </c>
      <c r="H136" s="471">
        <v>0</v>
      </c>
      <c r="I136" s="471">
        <v>0</v>
      </c>
      <c r="J136" s="471">
        <v>0</v>
      </c>
      <c r="K136" s="471">
        <v>0</v>
      </c>
      <c r="L136" s="471">
        <v>0</v>
      </c>
      <c r="M136" s="471">
        <v>0</v>
      </c>
      <c r="N136" s="471">
        <v>0</v>
      </c>
      <c r="O136" s="471">
        <v>0</v>
      </c>
      <c r="P136" s="471">
        <v>0</v>
      </c>
      <c r="Q136" s="471">
        <f t="shared" si="19"/>
        <v>535</v>
      </c>
      <c r="R136" s="471">
        <f t="shared" si="20"/>
        <v>6720</v>
      </c>
      <c r="S136" s="473">
        <f t="shared" si="21"/>
        <v>7255</v>
      </c>
      <c r="T136" s="1417"/>
      <c r="U136" s="756" t="s">
        <v>303</v>
      </c>
      <c r="V136" s="757" t="s">
        <v>304</v>
      </c>
      <c r="W136" s="471">
        <v>229</v>
      </c>
      <c r="X136" s="471">
        <v>62</v>
      </c>
      <c r="Y136" s="471">
        <v>4864</v>
      </c>
      <c r="Z136" s="471">
        <v>0</v>
      </c>
      <c r="AA136" s="471"/>
      <c r="AB136" s="471">
        <v>0</v>
      </c>
      <c r="AC136" s="471">
        <v>0</v>
      </c>
      <c r="AD136" s="474">
        <f t="shared" si="17"/>
        <v>0</v>
      </c>
      <c r="AE136" s="471">
        <v>2100</v>
      </c>
      <c r="AF136" s="471">
        <v>0</v>
      </c>
      <c r="AG136" s="471"/>
      <c r="AH136" s="473">
        <f t="shared" si="22"/>
        <v>7255</v>
      </c>
      <c r="AJ136" s="484">
        <v>7255</v>
      </c>
    </row>
    <row r="137" spans="1:36" ht="12.75">
      <c r="A137" s="1417"/>
      <c r="B137" s="756" t="s">
        <v>303</v>
      </c>
      <c r="C137" s="757" t="s">
        <v>305</v>
      </c>
      <c r="D137" s="471">
        <v>6720</v>
      </c>
      <c r="E137" s="471">
        <v>0</v>
      </c>
      <c r="F137" s="471">
        <v>0</v>
      </c>
      <c r="G137" s="471">
        <v>0</v>
      </c>
      <c r="H137" s="471">
        <v>0</v>
      </c>
      <c r="I137" s="471">
        <v>0</v>
      </c>
      <c r="J137" s="471">
        <v>0</v>
      </c>
      <c r="K137" s="471">
        <v>0</v>
      </c>
      <c r="L137" s="471">
        <v>568</v>
      </c>
      <c r="M137" s="471">
        <v>0</v>
      </c>
      <c r="N137" s="471">
        <v>64</v>
      </c>
      <c r="O137" s="471">
        <v>0</v>
      </c>
      <c r="P137" s="471">
        <v>0</v>
      </c>
      <c r="Q137" s="471">
        <f t="shared" si="19"/>
        <v>635</v>
      </c>
      <c r="R137" s="471">
        <f t="shared" si="20"/>
        <v>7352</v>
      </c>
      <c r="S137" s="473">
        <f t="shared" si="21"/>
        <v>7987</v>
      </c>
      <c r="T137" s="1417"/>
      <c r="U137" s="756" t="s">
        <v>303</v>
      </c>
      <c r="V137" s="757" t="s">
        <v>305</v>
      </c>
      <c r="W137" s="471">
        <f>229+111</f>
        <v>340</v>
      </c>
      <c r="X137" s="471">
        <f>62+8</f>
        <v>70</v>
      </c>
      <c r="Y137" s="471">
        <f>4864+100+513</f>
        <v>5477</v>
      </c>
      <c r="Z137" s="471">
        <v>0</v>
      </c>
      <c r="AA137" s="471"/>
      <c r="AB137" s="471">
        <v>0</v>
      </c>
      <c r="AC137" s="471">
        <v>0</v>
      </c>
      <c r="AD137" s="474">
        <f t="shared" si="17"/>
        <v>0</v>
      </c>
      <c r="AE137" s="471">
        <v>2100</v>
      </c>
      <c r="AF137" s="471">
        <v>0</v>
      </c>
      <c r="AG137" s="471"/>
      <c r="AH137" s="473">
        <f t="shared" si="22"/>
        <v>7987</v>
      </c>
      <c r="AJ137" s="484">
        <v>7255</v>
      </c>
    </row>
    <row r="138" spans="1:36" ht="12.75">
      <c r="A138" s="1417"/>
      <c r="B138" s="756" t="s">
        <v>303</v>
      </c>
      <c r="C138" s="757" t="s">
        <v>306</v>
      </c>
      <c r="D138" s="471">
        <v>6720</v>
      </c>
      <c r="E138" s="471">
        <v>0</v>
      </c>
      <c r="F138" s="471">
        <v>0</v>
      </c>
      <c r="G138" s="471">
        <v>0</v>
      </c>
      <c r="H138" s="471">
        <v>0</v>
      </c>
      <c r="I138" s="471">
        <v>0</v>
      </c>
      <c r="J138" s="471">
        <v>0</v>
      </c>
      <c r="K138" s="471">
        <v>0</v>
      </c>
      <c r="L138" s="471">
        <v>568</v>
      </c>
      <c r="M138" s="471">
        <v>0</v>
      </c>
      <c r="N138" s="471">
        <v>64</v>
      </c>
      <c r="O138" s="471">
        <v>0</v>
      </c>
      <c r="P138" s="471">
        <v>0</v>
      </c>
      <c r="Q138" s="471">
        <f t="shared" si="19"/>
        <v>207</v>
      </c>
      <c r="R138" s="471">
        <f t="shared" si="20"/>
        <v>7352</v>
      </c>
      <c r="S138" s="473">
        <f t="shared" si="21"/>
        <v>7559</v>
      </c>
      <c r="T138" s="1417"/>
      <c r="U138" s="756" t="s">
        <v>303</v>
      </c>
      <c r="V138" s="757" t="s">
        <v>306</v>
      </c>
      <c r="W138" s="471">
        <f>229+111+189+158+47+12</f>
        <v>746</v>
      </c>
      <c r="X138" s="471">
        <f>62+8+4+45+17</f>
        <v>136</v>
      </c>
      <c r="Y138" s="471">
        <f>4864+100+513-900</f>
        <v>4577</v>
      </c>
      <c r="Z138" s="471">
        <v>0</v>
      </c>
      <c r="AA138" s="471"/>
      <c r="AB138" s="471">
        <v>0</v>
      </c>
      <c r="AC138" s="471">
        <v>0</v>
      </c>
      <c r="AD138" s="474">
        <f t="shared" si="17"/>
        <v>0</v>
      </c>
      <c r="AE138" s="471">
        <v>2100</v>
      </c>
      <c r="AF138" s="471">
        <v>0</v>
      </c>
      <c r="AG138" s="471"/>
      <c r="AH138" s="473">
        <f t="shared" si="22"/>
        <v>7559</v>
      </c>
      <c r="AJ138" s="484"/>
    </row>
    <row r="139" spans="1:36" ht="12.75">
      <c r="A139" s="1417"/>
      <c r="B139" s="756" t="s">
        <v>303</v>
      </c>
      <c r="C139" s="757" t="s">
        <v>307</v>
      </c>
      <c r="D139" s="471">
        <v>6720</v>
      </c>
      <c r="E139" s="471">
        <v>0</v>
      </c>
      <c r="F139" s="471">
        <v>0</v>
      </c>
      <c r="G139" s="471">
        <v>0</v>
      </c>
      <c r="H139" s="471">
        <v>0</v>
      </c>
      <c r="I139" s="471">
        <v>0</v>
      </c>
      <c r="J139" s="471">
        <v>0</v>
      </c>
      <c r="K139" s="471">
        <v>0</v>
      </c>
      <c r="L139" s="471">
        <v>568</v>
      </c>
      <c r="M139" s="471">
        <v>0</v>
      </c>
      <c r="N139" s="471">
        <v>64</v>
      </c>
      <c r="O139" s="471">
        <v>0</v>
      </c>
      <c r="P139" s="471">
        <v>0</v>
      </c>
      <c r="Q139" s="471">
        <f t="shared" si="19"/>
        <v>207</v>
      </c>
      <c r="R139" s="471">
        <f t="shared" si="20"/>
        <v>7352</v>
      </c>
      <c r="S139" s="473">
        <f t="shared" si="21"/>
        <v>7559</v>
      </c>
      <c r="T139" s="1417"/>
      <c r="U139" s="756" t="s">
        <v>303</v>
      </c>
      <c r="V139" s="757" t="s">
        <v>307</v>
      </c>
      <c r="W139" s="471">
        <f>229+111+189+158+47+12</f>
        <v>746</v>
      </c>
      <c r="X139" s="471">
        <f>62+8+4+45+17</f>
        <v>136</v>
      </c>
      <c r="Y139" s="471">
        <f>4864+100+513-900</f>
        <v>4577</v>
      </c>
      <c r="Z139" s="471">
        <v>0</v>
      </c>
      <c r="AA139" s="471"/>
      <c r="AB139" s="471">
        <v>0</v>
      </c>
      <c r="AC139" s="471">
        <v>0</v>
      </c>
      <c r="AD139" s="474">
        <f t="shared" si="17"/>
        <v>0</v>
      </c>
      <c r="AE139" s="471">
        <v>2100</v>
      </c>
      <c r="AF139" s="471">
        <v>0</v>
      </c>
      <c r="AG139" s="471"/>
      <c r="AH139" s="473">
        <f t="shared" si="22"/>
        <v>7559</v>
      </c>
      <c r="AJ139" s="484"/>
    </row>
    <row r="140" spans="1:36" ht="12.75">
      <c r="A140" s="1417"/>
      <c r="B140" s="756" t="s">
        <v>303</v>
      </c>
      <c r="C140" s="757" t="s">
        <v>308</v>
      </c>
      <c r="D140" s="471">
        <v>6720</v>
      </c>
      <c r="E140" s="471">
        <v>0</v>
      </c>
      <c r="F140" s="471">
        <v>0</v>
      </c>
      <c r="G140" s="471">
        <v>0</v>
      </c>
      <c r="H140" s="471">
        <v>0</v>
      </c>
      <c r="I140" s="471">
        <v>0</v>
      </c>
      <c r="J140" s="471">
        <v>0</v>
      </c>
      <c r="K140" s="471">
        <v>0</v>
      </c>
      <c r="L140" s="471">
        <v>568</v>
      </c>
      <c r="M140" s="471">
        <v>0</v>
      </c>
      <c r="N140" s="471">
        <v>64</v>
      </c>
      <c r="O140" s="471">
        <v>0</v>
      </c>
      <c r="P140" s="471">
        <v>0</v>
      </c>
      <c r="Q140" s="471">
        <f t="shared" si="19"/>
        <v>207</v>
      </c>
      <c r="R140" s="471">
        <f t="shared" si="20"/>
        <v>7352</v>
      </c>
      <c r="S140" s="473">
        <f t="shared" si="21"/>
        <v>7559</v>
      </c>
      <c r="T140" s="1417"/>
      <c r="U140" s="756" t="s">
        <v>303</v>
      </c>
      <c r="V140" s="757" t="s">
        <v>308</v>
      </c>
      <c r="W140" s="471">
        <f>229+111+189+158+47+12</f>
        <v>746</v>
      </c>
      <c r="X140" s="471">
        <f>62+8+4+45+17</f>
        <v>136</v>
      </c>
      <c r="Y140" s="471">
        <f>4864+100+513-900</f>
        <v>4577</v>
      </c>
      <c r="Z140" s="471">
        <v>0</v>
      </c>
      <c r="AA140" s="471"/>
      <c r="AB140" s="471">
        <v>0</v>
      </c>
      <c r="AC140" s="471">
        <v>0</v>
      </c>
      <c r="AD140" s="474">
        <f t="shared" si="17"/>
        <v>0</v>
      </c>
      <c r="AE140" s="471">
        <v>2100</v>
      </c>
      <c r="AF140" s="471">
        <v>0</v>
      </c>
      <c r="AG140" s="471"/>
      <c r="AH140" s="473">
        <f t="shared" si="22"/>
        <v>7559</v>
      </c>
      <c r="AJ140" s="484"/>
    </row>
    <row r="141" spans="1:36" ht="12.75">
      <c r="A141" s="1417"/>
      <c r="B141" s="756" t="s">
        <v>303</v>
      </c>
      <c r="C141" s="757" t="s">
        <v>527</v>
      </c>
      <c r="D141" s="471">
        <v>6720</v>
      </c>
      <c r="E141" s="471">
        <v>0</v>
      </c>
      <c r="F141" s="471">
        <v>0</v>
      </c>
      <c r="G141" s="471">
        <v>0</v>
      </c>
      <c r="H141" s="471">
        <v>0</v>
      </c>
      <c r="I141" s="471">
        <v>0</v>
      </c>
      <c r="J141" s="471">
        <v>0</v>
      </c>
      <c r="K141" s="471">
        <v>0</v>
      </c>
      <c r="L141" s="471">
        <v>568</v>
      </c>
      <c r="M141" s="471">
        <v>0</v>
      </c>
      <c r="N141" s="471">
        <v>64</v>
      </c>
      <c r="O141" s="471">
        <v>0</v>
      </c>
      <c r="P141" s="471">
        <v>0</v>
      </c>
      <c r="Q141" s="471">
        <f t="shared" si="19"/>
        <v>207</v>
      </c>
      <c r="R141" s="471">
        <f t="shared" si="20"/>
        <v>7352</v>
      </c>
      <c r="S141" s="473">
        <f t="shared" si="21"/>
        <v>7559</v>
      </c>
      <c r="T141" s="1417"/>
      <c r="U141" s="756" t="s">
        <v>303</v>
      </c>
      <c r="V141" s="757" t="s">
        <v>527</v>
      </c>
      <c r="W141" s="471">
        <f>229+111+189+158+47+12</f>
        <v>746</v>
      </c>
      <c r="X141" s="471">
        <f>62+8+4+45+17</f>
        <v>136</v>
      </c>
      <c r="Y141" s="471">
        <f>4864+100+513-900</f>
        <v>4577</v>
      </c>
      <c r="Z141" s="471">
        <v>0</v>
      </c>
      <c r="AA141" s="471"/>
      <c r="AB141" s="471">
        <v>0</v>
      </c>
      <c r="AC141" s="471">
        <v>0</v>
      </c>
      <c r="AD141" s="474">
        <f t="shared" si="17"/>
        <v>0</v>
      </c>
      <c r="AE141" s="471">
        <v>2100</v>
      </c>
      <c r="AF141" s="471">
        <v>0</v>
      </c>
      <c r="AG141" s="471"/>
      <c r="AH141" s="473">
        <f t="shared" si="22"/>
        <v>7559</v>
      </c>
      <c r="AJ141" s="484"/>
    </row>
    <row r="142" spans="1:36" ht="12.75">
      <c r="A142" s="1417"/>
      <c r="B142" s="756" t="s">
        <v>303</v>
      </c>
      <c r="C142" s="757" t="s">
        <v>321</v>
      </c>
      <c r="D142" s="471">
        <f>2232+1</f>
        <v>2233</v>
      </c>
      <c r="E142" s="471">
        <v>0</v>
      </c>
      <c r="F142" s="471">
        <v>0</v>
      </c>
      <c r="G142" s="471">
        <v>0</v>
      </c>
      <c r="H142" s="471">
        <v>0</v>
      </c>
      <c r="I142" s="471">
        <v>0</v>
      </c>
      <c r="J142" s="471">
        <v>0</v>
      </c>
      <c r="K142" s="471">
        <v>0</v>
      </c>
      <c r="L142" s="471">
        <v>568</v>
      </c>
      <c r="M142" s="471"/>
      <c r="N142" s="471">
        <v>64</v>
      </c>
      <c r="O142" s="471">
        <v>0</v>
      </c>
      <c r="P142" s="471">
        <v>0</v>
      </c>
      <c r="Q142" s="471">
        <f t="shared" si="19"/>
        <v>4545</v>
      </c>
      <c r="R142" s="471">
        <f t="shared" si="20"/>
        <v>2865</v>
      </c>
      <c r="S142" s="473">
        <f t="shared" si="21"/>
        <v>7410</v>
      </c>
      <c r="T142" s="1417"/>
      <c r="U142" s="756" t="s">
        <v>303</v>
      </c>
      <c r="V142" s="757" t="s">
        <v>321</v>
      </c>
      <c r="W142" s="471">
        <v>746</v>
      </c>
      <c r="X142" s="471">
        <v>136</v>
      </c>
      <c r="Y142" s="471">
        <v>4470</v>
      </c>
      <c r="Z142" s="471">
        <v>0</v>
      </c>
      <c r="AA142" s="471"/>
      <c r="AB142" s="471">
        <v>0</v>
      </c>
      <c r="AC142" s="471">
        <v>0</v>
      </c>
      <c r="AD142" s="474">
        <f t="shared" si="17"/>
        <v>0</v>
      </c>
      <c r="AE142" s="471">
        <f>2057+1</f>
        <v>2058</v>
      </c>
      <c r="AF142" s="471">
        <v>0</v>
      </c>
      <c r="AG142" s="471"/>
      <c r="AH142" s="473">
        <f t="shared" si="22"/>
        <v>7410</v>
      </c>
      <c r="AJ142" s="484"/>
    </row>
    <row r="143" spans="1:36" ht="12.75">
      <c r="A143" s="1417" t="s">
        <v>319</v>
      </c>
      <c r="B143" s="756" t="s">
        <v>303</v>
      </c>
      <c r="C143" s="757" t="s">
        <v>308</v>
      </c>
      <c r="D143" s="471">
        <f>14888-1899-513-2652</f>
        <v>9824</v>
      </c>
      <c r="E143" s="471">
        <v>9824</v>
      </c>
      <c r="F143" s="471">
        <v>2652</v>
      </c>
      <c r="G143" s="471"/>
      <c r="H143" s="471">
        <v>0</v>
      </c>
      <c r="I143" s="471">
        <v>0</v>
      </c>
      <c r="J143" s="471">
        <v>0</v>
      </c>
      <c r="K143" s="471">
        <v>0</v>
      </c>
      <c r="L143" s="471">
        <v>0</v>
      </c>
      <c r="M143" s="471">
        <v>0</v>
      </c>
      <c r="N143" s="471">
        <v>0</v>
      </c>
      <c r="O143" s="471">
        <v>0</v>
      </c>
      <c r="P143" s="471">
        <v>0</v>
      </c>
      <c r="Q143" s="471">
        <f t="shared" si="19"/>
        <v>6408</v>
      </c>
      <c r="R143" s="471">
        <f t="shared" si="20"/>
        <v>12476</v>
      </c>
      <c r="S143" s="473">
        <f t="shared" si="21"/>
        <v>18884</v>
      </c>
      <c r="T143" s="1417" t="s">
        <v>319</v>
      </c>
      <c r="U143" s="756" t="s">
        <v>303</v>
      </c>
      <c r="V143" s="757" t="s">
        <v>308</v>
      </c>
      <c r="W143" s="471">
        <v>0</v>
      </c>
      <c r="X143" s="471">
        <v>0</v>
      </c>
      <c r="Y143" s="471">
        <f>28708-9824</f>
        <v>18884</v>
      </c>
      <c r="Z143" s="471">
        <v>18884</v>
      </c>
      <c r="AA143" s="471"/>
      <c r="AB143" s="471">
        <v>0</v>
      </c>
      <c r="AC143" s="471">
        <v>0</v>
      </c>
      <c r="AD143" s="474">
        <f aca="true" t="shared" si="23" ref="AD143:AD161">AD127+AD135</f>
        <v>0</v>
      </c>
      <c r="AE143" s="471">
        <v>0</v>
      </c>
      <c r="AF143" s="471">
        <v>0</v>
      </c>
      <c r="AG143" s="471"/>
      <c r="AH143" s="473">
        <f t="shared" si="22"/>
        <v>18884</v>
      </c>
      <c r="AJ143" s="484"/>
    </row>
    <row r="144" spans="1:36" ht="12.75">
      <c r="A144" s="1417"/>
      <c r="B144" s="756" t="s">
        <v>303</v>
      </c>
      <c r="C144" s="757" t="s">
        <v>527</v>
      </c>
      <c r="D144" s="471">
        <f>14888-1899-513-2652</f>
        <v>9824</v>
      </c>
      <c r="E144" s="471">
        <v>9824</v>
      </c>
      <c r="F144" s="471">
        <v>2652</v>
      </c>
      <c r="G144" s="471"/>
      <c r="H144" s="471">
        <v>0</v>
      </c>
      <c r="I144" s="471">
        <v>0</v>
      </c>
      <c r="J144" s="471">
        <v>0</v>
      </c>
      <c r="K144" s="471">
        <v>0</v>
      </c>
      <c r="L144" s="471">
        <v>0</v>
      </c>
      <c r="M144" s="471">
        <v>0</v>
      </c>
      <c r="N144" s="471">
        <v>0</v>
      </c>
      <c r="O144" s="471">
        <v>0</v>
      </c>
      <c r="P144" s="471">
        <v>0</v>
      </c>
      <c r="Q144" s="471">
        <f t="shared" si="19"/>
        <v>6408</v>
      </c>
      <c r="R144" s="471">
        <f t="shared" si="20"/>
        <v>12476</v>
      </c>
      <c r="S144" s="473">
        <f t="shared" si="21"/>
        <v>18884</v>
      </c>
      <c r="T144" s="1417"/>
      <c r="U144" s="756" t="s">
        <v>303</v>
      </c>
      <c r="V144" s="757" t="s">
        <v>527</v>
      </c>
      <c r="W144" s="471">
        <v>0</v>
      </c>
      <c r="X144" s="471">
        <v>0</v>
      </c>
      <c r="Y144" s="471">
        <f>28708-9824</f>
        <v>18884</v>
      </c>
      <c r="Z144" s="471">
        <v>18884</v>
      </c>
      <c r="AA144" s="471"/>
      <c r="AB144" s="471">
        <v>0</v>
      </c>
      <c r="AC144" s="471">
        <v>0</v>
      </c>
      <c r="AD144" s="474">
        <f t="shared" si="23"/>
        <v>0</v>
      </c>
      <c r="AE144" s="471">
        <v>0</v>
      </c>
      <c r="AF144" s="471">
        <v>0</v>
      </c>
      <c r="AG144" s="471"/>
      <c r="AH144" s="473">
        <f t="shared" si="22"/>
        <v>18884</v>
      </c>
      <c r="AJ144" s="484"/>
    </row>
    <row r="145" spans="1:36" ht="12.75">
      <c r="A145" s="1417"/>
      <c r="B145" s="756" t="s">
        <v>303</v>
      </c>
      <c r="C145" s="757" t="s">
        <v>321</v>
      </c>
      <c r="D145" s="471">
        <v>2317</v>
      </c>
      <c r="E145" s="471">
        <v>2317</v>
      </c>
      <c r="F145" s="471">
        <v>626</v>
      </c>
      <c r="G145" s="471"/>
      <c r="H145" s="471">
        <v>0</v>
      </c>
      <c r="I145" s="471">
        <v>0</v>
      </c>
      <c r="J145" s="471">
        <v>0</v>
      </c>
      <c r="K145" s="471">
        <v>0</v>
      </c>
      <c r="L145" s="471">
        <v>0</v>
      </c>
      <c r="M145" s="471">
        <v>0</v>
      </c>
      <c r="N145" s="471">
        <v>0</v>
      </c>
      <c r="O145" s="471">
        <v>0</v>
      </c>
      <c r="P145" s="471">
        <v>0</v>
      </c>
      <c r="Q145" s="471">
        <f t="shared" si="19"/>
        <v>13974</v>
      </c>
      <c r="R145" s="471">
        <f t="shared" si="20"/>
        <v>2943</v>
      </c>
      <c r="S145" s="473">
        <f t="shared" si="21"/>
        <v>16917</v>
      </c>
      <c r="T145" s="1417"/>
      <c r="U145" s="756" t="s">
        <v>303</v>
      </c>
      <c r="V145" s="757" t="s">
        <v>321</v>
      </c>
      <c r="W145" s="471">
        <v>0</v>
      </c>
      <c r="X145" s="471">
        <v>0</v>
      </c>
      <c r="Y145" s="471">
        <v>16917</v>
      </c>
      <c r="Z145" s="471">
        <v>16917</v>
      </c>
      <c r="AA145" s="471"/>
      <c r="AB145" s="471">
        <v>0</v>
      </c>
      <c r="AC145" s="471">
        <v>0</v>
      </c>
      <c r="AD145" s="474">
        <f t="shared" si="23"/>
        <v>0</v>
      </c>
      <c r="AE145" s="471">
        <v>0</v>
      </c>
      <c r="AF145" s="471">
        <v>0</v>
      </c>
      <c r="AG145" s="471"/>
      <c r="AH145" s="473">
        <f t="shared" si="22"/>
        <v>16917</v>
      </c>
      <c r="AJ145" s="484"/>
    </row>
    <row r="146" spans="1:36" ht="12.75">
      <c r="A146" s="1417" t="s">
        <v>320</v>
      </c>
      <c r="B146" s="756" t="s">
        <v>303</v>
      </c>
      <c r="C146" s="757" t="s">
        <v>308</v>
      </c>
      <c r="D146" s="471">
        <v>1899</v>
      </c>
      <c r="E146" s="471">
        <v>1899</v>
      </c>
      <c r="F146" s="471">
        <v>513</v>
      </c>
      <c r="G146" s="471"/>
      <c r="H146" s="471">
        <v>0</v>
      </c>
      <c r="I146" s="471">
        <v>0</v>
      </c>
      <c r="J146" s="471">
        <v>0</v>
      </c>
      <c r="K146" s="471">
        <v>0</v>
      </c>
      <c r="L146" s="471">
        <v>0</v>
      </c>
      <c r="M146" s="471">
        <v>0</v>
      </c>
      <c r="N146" s="471">
        <v>0</v>
      </c>
      <c r="O146" s="471">
        <v>0</v>
      </c>
      <c r="P146" s="471">
        <v>0</v>
      </c>
      <c r="Q146" s="471">
        <f t="shared" si="19"/>
        <v>3944</v>
      </c>
      <c r="R146" s="471">
        <f t="shared" si="20"/>
        <v>2412</v>
      </c>
      <c r="S146" s="473">
        <f t="shared" si="21"/>
        <v>6356</v>
      </c>
      <c r="T146" s="1417" t="s">
        <v>320</v>
      </c>
      <c r="U146" s="756" t="s">
        <v>303</v>
      </c>
      <c r="V146" s="757" t="s">
        <v>308</v>
      </c>
      <c r="W146" s="471">
        <v>0</v>
      </c>
      <c r="X146" s="471">
        <v>0</v>
      </c>
      <c r="Y146" s="471">
        <f>-3468+9824</f>
        <v>6356</v>
      </c>
      <c r="Z146" s="471">
        <v>6356</v>
      </c>
      <c r="AA146" s="471"/>
      <c r="AB146" s="471">
        <v>0</v>
      </c>
      <c r="AC146" s="471">
        <v>0</v>
      </c>
      <c r="AD146" s="474">
        <f t="shared" si="23"/>
        <v>0</v>
      </c>
      <c r="AE146" s="471">
        <v>0</v>
      </c>
      <c r="AF146" s="471">
        <v>0</v>
      </c>
      <c r="AG146" s="471"/>
      <c r="AH146" s="473">
        <f t="shared" si="22"/>
        <v>6356</v>
      </c>
      <c r="AJ146" s="484"/>
    </row>
    <row r="147" spans="1:36" ht="12.75">
      <c r="A147" s="1417"/>
      <c r="B147" s="756" t="s">
        <v>303</v>
      </c>
      <c r="C147" s="757" t="s">
        <v>527</v>
      </c>
      <c r="D147" s="471">
        <v>1899</v>
      </c>
      <c r="E147" s="471">
        <v>1899</v>
      </c>
      <c r="F147" s="471">
        <v>513</v>
      </c>
      <c r="G147" s="471"/>
      <c r="H147" s="471">
        <v>0</v>
      </c>
      <c r="I147" s="471">
        <v>0</v>
      </c>
      <c r="J147" s="471">
        <v>0</v>
      </c>
      <c r="K147" s="471">
        <v>0</v>
      </c>
      <c r="L147" s="471">
        <v>0</v>
      </c>
      <c r="M147" s="471">
        <v>0</v>
      </c>
      <c r="N147" s="471">
        <v>0</v>
      </c>
      <c r="O147" s="471">
        <v>0</v>
      </c>
      <c r="P147" s="471">
        <v>0</v>
      </c>
      <c r="Q147" s="471">
        <f t="shared" si="19"/>
        <v>3944</v>
      </c>
      <c r="R147" s="471">
        <f t="shared" si="20"/>
        <v>2412</v>
      </c>
      <c r="S147" s="473">
        <f t="shared" si="21"/>
        <v>6356</v>
      </c>
      <c r="T147" s="1417"/>
      <c r="U147" s="756" t="s">
        <v>303</v>
      </c>
      <c r="V147" s="757" t="s">
        <v>527</v>
      </c>
      <c r="W147" s="471">
        <v>0</v>
      </c>
      <c r="X147" s="471">
        <v>0</v>
      </c>
      <c r="Y147" s="471">
        <f>-3468+9824</f>
        <v>6356</v>
      </c>
      <c r="Z147" s="471">
        <v>6356</v>
      </c>
      <c r="AA147" s="471"/>
      <c r="AB147" s="471">
        <v>0</v>
      </c>
      <c r="AC147" s="471">
        <v>0</v>
      </c>
      <c r="AD147" s="474">
        <f t="shared" si="23"/>
        <v>0</v>
      </c>
      <c r="AE147" s="471">
        <v>0</v>
      </c>
      <c r="AF147" s="471">
        <v>0</v>
      </c>
      <c r="AG147" s="471"/>
      <c r="AH147" s="473">
        <f t="shared" si="22"/>
        <v>6356</v>
      </c>
      <c r="AJ147" s="484"/>
    </row>
    <row r="148" spans="1:36" ht="12.75">
      <c r="A148" s="1417"/>
      <c r="B148" s="756" t="s">
        <v>303</v>
      </c>
      <c r="C148" s="757" t="s">
        <v>321</v>
      </c>
      <c r="D148" s="471">
        <v>1899</v>
      </c>
      <c r="E148" s="471">
        <v>1899</v>
      </c>
      <c r="F148" s="471">
        <v>513</v>
      </c>
      <c r="G148" s="471"/>
      <c r="H148" s="471">
        <v>0</v>
      </c>
      <c r="I148" s="471">
        <v>0</v>
      </c>
      <c r="J148" s="471">
        <v>0</v>
      </c>
      <c r="K148" s="471">
        <v>0</v>
      </c>
      <c r="L148" s="471">
        <v>0</v>
      </c>
      <c r="M148" s="471">
        <v>0</v>
      </c>
      <c r="N148" s="471">
        <v>0</v>
      </c>
      <c r="O148" s="471">
        <v>0</v>
      </c>
      <c r="P148" s="471">
        <v>0</v>
      </c>
      <c r="Q148" s="471">
        <f>AH148-R148</f>
        <v>3944</v>
      </c>
      <c r="R148" s="471">
        <f t="shared" si="20"/>
        <v>2412</v>
      </c>
      <c r="S148" s="473">
        <f t="shared" si="21"/>
        <v>6356</v>
      </c>
      <c r="T148" s="1417"/>
      <c r="U148" s="756" t="s">
        <v>303</v>
      </c>
      <c r="V148" s="757" t="s">
        <v>321</v>
      </c>
      <c r="W148" s="471">
        <v>0</v>
      </c>
      <c r="X148" s="471">
        <v>0</v>
      </c>
      <c r="Y148" s="471">
        <v>6356</v>
      </c>
      <c r="Z148" s="471">
        <v>6356</v>
      </c>
      <c r="AA148" s="471"/>
      <c r="AB148" s="471">
        <v>0</v>
      </c>
      <c r="AC148" s="471">
        <v>0</v>
      </c>
      <c r="AD148" s="474">
        <f t="shared" si="23"/>
        <v>0</v>
      </c>
      <c r="AE148" s="471">
        <v>0</v>
      </c>
      <c r="AF148" s="471">
        <v>0</v>
      </c>
      <c r="AG148" s="471"/>
      <c r="AH148" s="473">
        <f t="shared" si="22"/>
        <v>6356</v>
      </c>
      <c r="AJ148" s="484"/>
    </row>
    <row r="149" spans="1:36" s="1275" customFormat="1" ht="12.75">
      <c r="A149" s="1431" t="s">
        <v>324</v>
      </c>
      <c r="B149" s="475" t="s">
        <v>303</v>
      </c>
      <c r="C149" s="476" t="s">
        <v>325</v>
      </c>
      <c r="D149" s="474">
        <v>14888</v>
      </c>
      <c r="E149" s="474">
        <v>14888</v>
      </c>
      <c r="F149" s="471">
        <v>0</v>
      </c>
      <c r="G149" s="471">
        <v>0</v>
      </c>
      <c r="H149" s="471">
        <v>0</v>
      </c>
      <c r="I149" s="471">
        <v>0</v>
      </c>
      <c r="J149" s="471">
        <v>0</v>
      </c>
      <c r="K149" s="471">
        <v>0</v>
      </c>
      <c r="L149" s="471">
        <v>0</v>
      </c>
      <c r="M149" s="471">
        <v>0</v>
      </c>
      <c r="N149" s="471">
        <v>0</v>
      </c>
      <c r="O149" s="471">
        <v>0</v>
      </c>
      <c r="P149" s="471">
        <v>0</v>
      </c>
      <c r="Q149" s="474">
        <f t="shared" si="19"/>
        <v>13820</v>
      </c>
      <c r="R149" s="474">
        <f t="shared" si="20"/>
        <v>14888</v>
      </c>
      <c r="S149" s="478">
        <f t="shared" si="21"/>
        <v>28708</v>
      </c>
      <c r="T149" s="1431" t="s">
        <v>324</v>
      </c>
      <c r="U149" s="475" t="s">
        <v>303</v>
      </c>
      <c r="V149" s="476" t="s">
        <v>325</v>
      </c>
      <c r="W149" s="474">
        <v>0</v>
      </c>
      <c r="X149" s="474">
        <v>0</v>
      </c>
      <c r="Y149" s="474">
        <f>28708</f>
        <v>28708</v>
      </c>
      <c r="Z149" s="474">
        <v>28708</v>
      </c>
      <c r="AA149" s="474"/>
      <c r="AB149" s="471">
        <v>0</v>
      </c>
      <c r="AC149" s="471">
        <v>0</v>
      </c>
      <c r="AD149" s="474">
        <f t="shared" si="23"/>
        <v>0</v>
      </c>
      <c r="AE149" s="471">
        <v>0</v>
      </c>
      <c r="AF149" s="471">
        <v>0</v>
      </c>
      <c r="AG149" s="474"/>
      <c r="AH149" s="478">
        <f t="shared" si="22"/>
        <v>28708</v>
      </c>
      <c r="AJ149" s="1276"/>
    </row>
    <row r="150" spans="1:36" s="1275" customFormat="1" ht="12.75">
      <c r="A150" s="1431"/>
      <c r="B150" s="475" t="s">
        <v>303</v>
      </c>
      <c r="C150" s="476" t="s">
        <v>306</v>
      </c>
      <c r="D150" s="474">
        <v>14888</v>
      </c>
      <c r="E150" s="474">
        <v>14888</v>
      </c>
      <c r="F150" s="471">
        <v>0</v>
      </c>
      <c r="G150" s="471">
        <v>0</v>
      </c>
      <c r="H150" s="471">
        <v>0</v>
      </c>
      <c r="I150" s="471">
        <v>0</v>
      </c>
      <c r="J150" s="471">
        <v>0</v>
      </c>
      <c r="K150" s="471">
        <v>0</v>
      </c>
      <c r="L150" s="471">
        <v>0</v>
      </c>
      <c r="M150" s="471">
        <v>0</v>
      </c>
      <c r="N150" s="471">
        <v>0</v>
      </c>
      <c r="O150" s="471">
        <v>0</v>
      </c>
      <c r="P150" s="471">
        <v>0</v>
      </c>
      <c r="Q150" s="474">
        <f t="shared" si="19"/>
        <v>17520</v>
      </c>
      <c r="R150" s="474">
        <f t="shared" si="20"/>
        <v>14888</v>
      </c>
      <c r="S150" s="478">
        <f t="shared" si="21"/>
        <v>32408</v>
      </c>
      <c r="T150" s="1431"/>
      <c r="U150" s="475" t="s">
        <v>303</v>
      </c>
      <c r="V150" s="476" t="s">
        <v>306</v>
      </c>
      <c r="W150" s="474">
        <v>0</v>
      </c>
      <c r="X150" s="474">
        <v>0</v>
      </c>
      <c r="Y150" s="474">
        <f>28708+1900+900+900</f>
        <v>32408</v>
      </c>
      <c r="Z150" s="474">
        <v>32408</v>
      </c>
      <c r="AA150" s="474"/>
      <c r="AB150" s="471">
        <v>0</v>
      </c>
      <c r="AC150" s="471">
        <v>0</v>
      </c>
      <c r="AD150" s="474">
        <f t="shared" si="23"/>
        <v>0</v>
      </c>
      <c r="AE150" s="471">
        <v>0</v>
      </c>
      <c r="AF150" s="471">
        <v>0</v>
      </c>
      <c r="AG150" s="474"/>
      <c r="AH150" s="478">
        <f t="shared" si="22"/>
        <v>32408</v>
      </c>
      <c r="AJ150" s="1276"/>
    </row>
    <row r="151" spans="1:36" s="1275" customFormat="1" ht="12.75">
      <c r="A151" s="1431"/>
      <c r="B151" s="475" t="s">
        <v>303</v>
      </c>
      <c r="C151" s="476" t="s">
        <v>307</v>
      </c>
      <c r="D151" s="474">
        <v>14888</v>
      </c>
      <c r="E151" s="474">
        <v>14888</v>
      </c>
      <c r="F151" s="471">
        <v>0</v>
      </c>
      <c r="G151" s="471">
        <v>0</v>
      </c>
      <c r="H151" s="471">
        <v>0</v>
      </c>
      <c r="I151" s="471">
        <v>0</v>
      </c>
      <c r="J151" s="471">
        <v>0</v>
      </c>
      <c r="K151" s="471">
        <v>0</v>
      </c>
      <c r="L151" s="471">
        <v>0</v>
      </c>
      <c r="M151" s="471">
        <v>0</v>
      </c>
      <c r="N151" s="471">
        <v>0</v>
      </c>
      <c r="O151" s="471">
        <v>0</v>
      </c>
      <c r="P151" s="471">
        <v>0</v>
      </c>
      <c r="Q151" s="474">
        <f t="shared" si="19"/>
        <v>10352</v>
      </c>
      <c r="R151" s="474">
        <f t="shared" si="20"/>
        <v>14888</v>
      </c>
      <c r="S151" s="478">
        <f t="shared" si="21"/>
        <v>25240</v>
      </c>
      <c r="T151" s="1431"/>
      <c r="U151" s="475" t="s">
        <v>303</v>
      </c>
      <c r="V151" s="476" t="s">
        <v>307</v>
      </c>
      <c r="W151" s="474">
        <v>0</v>
      </c>
      <c r="X151" s="474">
        <v>0</v>
      </c>
      <c r="Y151" s="474">
        <f>28708+1900+900+900-1900-900-900-3468</f>
        <v>25240</v>
      </c>
      <c r="Z151" s="474">
        <v>28708</v>
      </c>
      <c r="AA151" s="474"/>
      <c r="AB151" s="471">
        <v>0</v>
      </c>
      <c r="AC151" s="471">
        <v>0</v>
      </c>
      <c r="AD151" s="474">
        <f t="shared" si="23"/>
        <v>0</v>
      </c>
      <c r="AE151" s="471">
        <v>0</v>
      </c>
      <c r="AF151" s="471">
        <v>0</v>
      </c>
      <c r="AG151" s="474"/>
      <c r="AH151" s="478">
        <f t="shared" si="22"/>
        <v>25240</v>
      </c>
      <c r="AJ151" s="1276"/>
    </row>
    <row r="152" spans="1:36" s="1275" customFormat="1" ht="12.75">
      <c r="A152" s="1431"/>
      <c r="B152" s="475" t="s">
        <v>303</v>
      </c>
      <c r="C152" s="476" t="s">
        <v>308</v>
      </c>
      <c r="D152" s="474">
        <f>D143+D146</f>
        <v>11723</v>
      </c>
      <c r="E152" s="474">
        <f aca="true" t="shared" si="24" ref="E152:Q152">E143+E146</f>
        <v>11723</v>
      </c>
      <c r="F152" s="474">
        <f t="shared" si="24"/>
        <v>3165</v>
      </c>
      <c r="G152" s="474">
        <f t="shared" si="24"/>
        <v>0</v>
      </c>
      <c r="H152" s="474">
        <f t="shared" si="24"/>
        <v>0</v>
      </c>
      <c r="I152" s="474">
        <f t="shared" si="24"/>
        <v>0</v>
      </c>
      <c r="J152" s="474">
        <f t="shared" si="24"/>
        <v>0</v>
      </c>
      <c r="K152" s="474">
        <f t="shared" si="24"/>
        <v>0</v>
      </c>
      <c r="L152" s="474">
        <f t="shared" si="24"/>
        <v>0</v>
      </c>
      <c r="M152" s="474">
        <f t="shared" si="24"/>
        <v>0</v>
      </c>
      <c r="N152" s="474">
        <f t="shared" si="24"/>
        <v>0</v>
      </c>
      <c r="O152" s="474">
        <f t="shared" si="24"/>
        <v>0</v>
      </c>
      <c r="P152" s="471">
        <v>0</v>
      </c>
      <c r="Q152" s="474">
        <f t="shared" si="24"/>
        <v>10352</v>
      </c>
      <c r="R152" s="474">
        <f t="shared" si="20"/>
        <v>14888</v>
      </c>
      <c r="S152" s="478">
        <f t="shared" si="21"/>
        <v>25240</v>
      </c>
      <c r="T152" s="1431"/>
      <c r="U152" s="475" t="s">
        <v>303</v>
      </c>
      <c r="V152" s="476" t="s">
        <v>308</v>
      </c>
      <c r="W152" s="474">
        <v>0</v>
      </c>
      <c r="X152" s="474">
        <v>0</v>
      </c>
      <c r="Y152" s="474">
        <f>Y143+Y146</f>
        <v>25240</v>
      </c>
      <c r="Z152" s="474">
        <f aca="true" t="shared" si="25" ref="Z152:AG152">Z143+Z146</f>
        <v>25240</v>
      </c>
      <c r="AA152" s="474">
        <f t="shared" si="25"/>
        <v>0</v>
      </c>
      <c r="AB152" s="474">
        <f t="shared" si="25"/>
        <v>0</v>
      </c>
      <c r="AC152" s="474">
        <f t="shared" si="25"/>
        <v>0</v>
      </c>
      <c r="AD152" s="474">
        <f t="shared" si="23"/>
        <v>0</v>
      </c>
      <c r="AE152" s="474">
        <f t="shared" si="25"/>
        <v>0</v>
      </c>
      <c r="AF152" s="474">
        <f t="shared" si="25"/>
        <v>0</v>
      </c>
      <c r="AG152" s="474">
        <f t="shared" si="25"/>
        <v>0</v>
      </c>
      <c r="AH152" s="478">
        <f t="shared" si="22"/>
        <v>25240</v>
      </c>
      <c r="AJ152" s="1276"/>
    </row>
    <row r="153" spans="1:36" s="1275" customFormat="1" ht="12.75">
      <c r="A153" s="1431"/>
      <c r="B153" s="475" t="s">
        <v>303</v>
      </c>
      <c r="C153" s="476" t="s">
        <v>527</v>
      </c>
      <c r="D153" s="474">
        <f>D144+D147</f>
        <v>11723</v>
      </c>
      <c r="E153" s="474">
        <f aca="true" t="shared" si="26" ref="E153:O153">E144+E147</f>
        <v>11723</v>
      </c>
      <c r="F153" s="474">
        <f t="shared" si="26"/>
        <v>3165</v>
      </c>
      <c r="G153" s="474">
        <f t="shared" si="26"/>
        <v>0</v>
      </c>
      <c r="H153" s="474">
        <f t="shared" si="26"/>
        <v>0</v>
      </c>
      <c r="I153" s="474">
        <f t="shared" si="26"/>
        <v>0</v>
      </c>
      <c r="J153" s="474">
        <f t="shared" si="26"/>
        <v>0</v>
      </c>
      <c r="K153" s="474">
        <f t="shared" si="26"/>
        <v>0</v>
      </c>
      <c r="L153" s="474">
        <f t="shared" si="26"/>
        <v>0</v>
      </c>
      <c r="M153" s="474">
        <f t="shared" si="26"/>
        <v>0</v>
      </c>
      <c r="N153" s="474">
        <f t="shared" si="26"/>
        <v>0</v>
      </c>
      <c r="O153" s="474">
        <f t="shared" si="26"/>
        <v>0</v>
      </c>
      <c r="P153" s="471">
        <v>0</v>
      </c>
      <c r="Q153" s="474">
        <f>Q144+Q147</f>
        <v>10352</v>
      </c>
      <c r="R153" s="474">
        <f t="shared" si="20"/>
        <v>14888</v>
      </c>
      <c r="S153" s="478">
        <f t="shared" si="21"/>
        <v>25240</v>
      </c>
      <c r="T153" s="1431"/>
      <c r="U153" s="475" t="s">
        <v>303</v>
      </c>
      <c r="V153" s="476" t="s">
        <v>527</v>
      </c>
      <c r="W153" s="474">
        <v>0</v>
      </c>
      <c r="X153" s="474">
        <v>0</v>
      </c>
      <c r="Y153" s="474">
        <f aca="true" t="shared" si="27" ref="Y153:AG154">Y144+Y147</f>
        <v>25240</v>
      </c>
      <c r="Z153" s="474">
        <f t="shared" si="27"/>
        <v>25240</v>
      </c>
      <c r="AA153" s="474">
        <f t="shared" si="27"/>
        <v>0</v>
      </c>
      <c r="AB153" s="474">
        <f t="shared" si="27"/>
        <v>0</v>
      </c>
      <c r="AC153" s="474">
        <f t="shared" si="27"/>
        <v>0</v>
      </c>
      <c r="AD153" s="474">
        <f t="shared" si="23"/>
        <v>0</v>
      </c>
      <c r="AE153" s="474">
        <f t="shared" si="27"/>
        <v>0</v>
      </c>
      <c r="AF153" s="474">
        <f t="shared" si="27"/>
        <v>0</v>
      </c>
      <c r="AG153" s="474">
        <f t="shared" si="27"/>
        <v>0</v>
      </c>
      <c r="AH153" s="478">
        <f t="shared" si="22"/>
        <v>25240</v>
      </c>
      <c r="AJ153" s="1276"/>
    </row>
    <row r="154" spans="1:36" s="1275" customFormat="1" ht="12.75">
      <c r="A154" s="1431"/>
      <c r="B154" s="475" t="s">
        <v>303</v>
      </c>
      <c r="C154" s="476" t="s">
        <v>321</v>
      </c>
      <c r="D154" s="474">
        <f>D145+D148</f>
        <v>4216</v>
      </c>
      <c r="E154" s="474">
        <f aca="true" t="shared" si="28" ref="E154:O154">E145+E148</f>
        <v>4216</v>
      </c>
      <c r="F154" s="474">
        <f t="shared" si="28"/>
        <v>1139</v>
      </c>
      <c r="G154" s="474">
        <f t="shared" si="28"/>
        <v>0</v>
      </c>
      <c r="H154" s="474">
        <f t="shared" si="28"/>
        <v>0</v>
      </c>
      <c r="I154" s="474">
        <f t="shared" si="28"/>
        <v>0</v>
      </c>
      <c r="J154" s="474">
        <f t="shared" si="28"/>
        <v>0</v>
      </c>
      <c r="K154" s="474">
        <f t="shared" si="28"/>
        <v>0</v>
      </c>
      <c r="L154" s="474">
        <f t="shared" si="28"/>
        <v>0</v>
      </c>
      <c r="M154" s="474">
        <f t="shared" si="28"/>
        <v>0</v>
      </c>
      <c r="N154" s="474">
        <f t="shared" si="28"/>
        <v>0</v>
      </c>
      <c r="O154" s="474">
        <f t="shared" si="28"/>
        <v>0</v>
      </c>
      <c r="P154" s="471">
        <v>0</v>
      </c>
      <c r="Q154" s="474">
        <f>Q145+Q148</f>
        <v>17918</v>
      </c>
      <c r="R154" s="474">
        <f t="shared" si="20"/>
        <v>5355</v>
      </c>
      <c r="S154" s="478">
        <f t="shared" si="21"/>
        <v>23273</v>
      </c>
      <c r="T154" s="1431"/>
      <c r="U154" s="475" t="s">
        <v>303</v>
      </c>
      <c r="V154" s="476" t="s">
        <v>321</v>
      </c>
      <c r="W154" s="474">
        <v>0</v>
      </c>
      <c r="X154" s="474">
        <v>0</v>
      </c>
      <c r="Y154" s="474">
        <f t="shared" si="27"/>
        <v>23273</v>
      </c>
      <c r="Z154" s="474">
        <f t="shared" si="27"/>
        <v>23273</v>
      </c>
      <c r="AA154" s="474">
        <f t="shared" si="27"/>
        <v>0</v>
      </c>
      <c r="AB154" s="474">
        <f t="shared" si="27"/>
        <v>0</v>
      </c>
      <c r="AC154" s="474">
        <f t="shared" si="27"/>
        <v>0</v>
      </c>
      <c r="AD154" s="474">
        <f t="shared" si="23"/>
        <v>0</v>
      </c>
      <c r="AE154" s="474">
        <f t="shared" si="27"/>
        <v>0</v>
      </c>
      <c r="AF154" s="474">
        <f t="shared" si="27"/>
        <v>0</v>
      </c>
      <c r="AG154" s="474">
        <f t="shared" si="27"/>
        <v>0</v>
      </c>
      <c r="AH154" s="478">
        <f>SUM(W154:AF154)-Z154</f>
        <v>23273</v>
      </c>
      <c r="AJ154" s="1276"/>
    </row>
    <row r="155" spans="1:36" ht="12.75">
      <c r="A155" s="1417" t="s">
        <v>196</v>
      </c>
      <c r="B155" s="756" t="s">
        <v>326</v>
      </c>
      <c r="C155" s="757" t="s">
        <v>873</v>
      </c>
      <c r="D155" s="471">
        <v>666</v>
      </c>
      <c r="E155" s="471">
        <v>0</v>
      </c>
      <c r="F155" s="471">
        <v>8180</v>
      </c>
      <c r="G155" s="471">
        <v>0</v>
      </c>
      <c r="H155" s="471">
        <v>0</v>
      </c>
      <c r="I155" s="471">
        <v>0</v>
      </c>
      <c r="J155" s="471">
        <v>0</v>
      </c>
      <c r="K155" s="471">
        <v>0</v>
      </c>
      <c r="L155" s="474">
        <f aca="true" t="shared" si="29" ref="L155:L164">L146+L149</f>
        <v>0</v>
      </c>
      <c r="M155" s="471">
        <v>0</v>
      </c>
      <c r="N155" s="471"/>
      <c r="O155" s="471">
        <v>0</v>
      </c>
      <c r="P155" s="471">
        <v>0</v>
      </c>
      <c r="Q155" s="471">
        <f aca="true" t="shared" si="30" ref="Q155:Q160">AH155-R155</f>
        <v>23488</v>
      </c>
      <c r="R155" s="471">
        <f t="shared" si="20"/>
        <v>8846</v>
      </c>
      <c r="S155" s="473">
        <f t="shared" si="21"/>
        <v>32334</v>
      </c>
      <c r="T155" s="1417" t="s">
        <v>196</v>
      </c>
      <c r="U155" s="756" t="s">
        <v>326</v>
      </c>
      <c r="V155" s="757" t="s">
        <v>873</v>
      </c>
      <c r="W155" s="471">
        <f>17782</f>
        <v>17782</v>
      </c>
      <c r="X155" s="471">
        <v>4738</v>
      </c>
      <c r="Y155" s="471">
        <v>9814</v>
      </c>
      <c r="Z155" s="471">
        <v>0</v>
      </c>
      <c r="AA155" s="471">
        <v>0</v>
      </c>
      <c r="AB155" s="471">
        <v>0</v>
      </c>
      <c r="AC155" s="471">
        <v>0</v>
      </c>
      <c r="AD155" s="474">
        <f t="shared" si="23"/>
        <v>0</v>
      </c>
      <c r="AE155" s="471">
        <v>0</v>
      </c>
      <c r="AF155" s="471">
        <v>0</v>
      </c>
      <c r="AG155" s="471"/>
      <c r="AH155" s="473">
        <f t="shared" si="22"/>
        <v>32334</v>
      </c>
      <c r="AJ155" s="484">
        <v>32334</v>
      </c>
    </row>
    <row r="156" spans="1:36" ht="12.75">
      <c r="A156" s="1417"/>
      <c r="B156" s="756" t="s">
        <v>326</v>
      </c>
      <c r="C156" s="757" t="s">
        <v>304</v>
      </c>
      <c r="D156" s="471">
        <v>666</v>
      </c>
      <c r="E156" s="471">
        <v>0</v>
      </c>
      <c r="F156" s="471">
        <v>8180</v>
      </c>
      <c r="G156" s="471">
        <v>0</v>
      </c>
      <c r="H156" s="471">
        <v>0</v>
      </c>
      <c r="I156" s="471">
        <v>0</v>
      </c>
      <c r="J156" s="471">
        <v>0</v>
      </c>
      <c r="K156" s="471">
        <v>0</v>
      </c>
      <c r="L156" s="474">
        <f t="shared" si="29"/>
        <v>0</v>
      </c>
      <c r="M156" s="471">
        <v>0</v>
      </c>
      <c r="N156" s="471">
        <v>0</v>
      </c>
      <c r="O156" s="471">
        <v>0</v>
      </c>
      <c r="P156" s="471">
        <v>0</v>
      </c>
      <c r="Q156" s="471">
        <f t="shared" si="30"/>
        <v>23488</v>
      </c>
      <c r="R156" s="471">
        <f t="shared" si="20"/>
        <v>8846</v>
      </c>
      <c r="S156" s="473">
        <f t="shared" si="21"/>
        <v>32334</v>
      </c>
      <c r="T156" s="1417"/>
      <c r="U156" s="756" t="s">
        <v>326</v>
      </c>
      <c r="V156" s="757" t="s">
        <v>304</v>
      </c>
      <c r="W156" s="471">
        <v>17782</v>
      </c>
      <c r="X156" s="471">
        <v>4738</v>
      </c>
      <c r="Y156" s="471">
        <v>9814</v>
      </c>
      <c r="Z156" s="471">
        <v>0</v>
      </c>
      <c r="AA156" s="471"/>
      <c r="AB156" s="471">
        <v>0</v>
      </c>
      <c r="AC156" s="471">
        <v>0</v>
      </c>
      <c r="AD156" s="474">
        <f t="shared" si="23"/>
        <v>0</v>
      </c>
      <c r="AE156" s="471">
        <v>0</v>
      </c>
      <c r="AF156" s="471">
        <v>0</v>
      </c>
      <c r="AG156" s="471"/>
      <c r="AH156" s="473">
        <f t="shared" si="22"/>
        <v>32334</v>
      </c>
      <c r="AJ156" s="484">
        <v>32334</v>
      </c>
    </row>
    <row r="157" spans="1:36" ht="12.75">
      <c r="A157" s="1417"/>
      <c r="B157" s="756" t="s">
        <v>326</v>
      </c>
      <c r="C157" s="757" t="s">
        <v>305</v>
      </c>
      <c r="D157" s="471">
        <v>666</v>
      </c>
      <c r="E157" s="471">
        <v>0</v>
      </c>
      <c r="F157" s="471">
        <v>8180</v>
      </c>
      <c r="G157" s="471">
        <v>0</v>
      </c>
      <c r="H157" s="471">
        <v>0</v>
      </c>
      <c r="I157" s="471">
        <v>0</v>
      </c>
      <c r="J157" s="471">
        <v>0</v>
      </c>
      <c r="K157" s="471">
        <v>0</v>
      </c>
      <c r="L157" s="474">
        <f t="shared" si="29"/>
        <v>0</v>
      </c>
      <c r="M157" s="471">
        <v>0</v>
      </c>
      <c r="N157" s="471">
        <v>19307</v>
      </c>
      <c r="O157" s="471">
        <v>0</v>
      </c>
      <c r="P157" s="471">
        <v>0</v>
      </c>
      <c r="Q157" s="471">
        <f t="shared" si="30"/>
        <v>24739</v>
      </c>
      <c r="R157" s="471">
        <f t="shared" si="20"/>
        <v>28153</v>
      </c>
      <c r="S157" s="473">
        <f t="shared" si="21"/>
        <v>52892</v>
      </c>
      <c r="T157" s="1417"/>
      <c r="U157" s="756" t="s">
        <v>326</v>
      </c>
      <c r="V157" s="757" t="s">
        <v>305</v>
      </c>
      <c r="W157" s="471">
        <f>17782+508+985</f>
        <v>19275</v>
      </c>
      <c r="X157" s="471">
        <f>4738+137+266</f>
        <v>5141</v>
      </c>
      <c r="Y157" s="471">
        <f>9814+986</f>
        <v>10800</v>
      </c>
      <c r="Z157" s="471">
        <v>0</v>
      </c>
      <c r="AA157" s="471"/>
      <c r="AB157" s="471">
        <v>17676</v>
      </c>
      <c r="AC157" s="471">
        <v>0</v>
      </c>
      <c r="AD157" s="474">
        <f t="shared" si="23"/>
        <v>0</v>
      </c>
      <c r="AE157" s="471">
        <v>0</v>
      </c>
      <c r="AF157" s="471">
        <v>0</v>
      </c>
      <c r="AG157" s="471"/>
      <c r="AH157" s="473">
        <f t="shared" si="22"/>
        <v>52892</v>
      </c>
      <c r="AJ157" s="484">
        <v>32334</v>
      </c>
    </row>
    <row r="158" spans="1:36" ht="12.75">
      <c r="A158" s="1417"/>
      <c r="B158" s="756" t="s">
        <v>326</v>
      </c>
      <c r="C158" s="757" t="s">
        <v>306</v>
      </c>
      <c r="D158" s="471">
        <v>666</v>
      </c>
      <c r="E158" s="471">
        <v>0</v>
      </c>
      <c r="F158" s="471">
        <v>8180</v>
      </c>
      <c r="G158" s="471">
        <v>0</v>
      </c>
      <c r="H158" s="471">
        <v>677</v>
      </c>
      <c r="I158" s="471">
        <v>0</v>
      </c>
      <c r="J158" s="471">
        <v>0</v>
      </c>
      <c r="K158" s="471">
        <v>0</v>
      </c>
      <c r="L158" s="474">
        <f t="shared" si="29"/>
        <v>0</v>
      </c>
      <c r="M158" s="471">
        <v>0</v>
      </c>
      <c r="N158" s="471">
        <v>19307</v>
      </c>
      <c r="O158" s="471">
        <v>0</v>
      </c>
      <c r="P158" s="471">
        <v>0</v>
      </c>
      <c r="Q158" s="471">
        <f t="shared" si="30"/>
        <v>27708</v>
      </c>
      <c r="R158" s="471">
        <f t="shared" si="20"/>
        <v>28830</v>
      </c>
      <c r="S158" s="473">
        <f t="shared" si="21"/>
        <v>56538</v>
      </c>
      <c r="T158" s="1417"/>
      <c r="U158" s="756" t="s">
        <v>326</v>
      </c>
      <c r="V158" s="757" t="s">
        <v>306</v>
      </c>
      <c r="W158" s="471">
        <f>17782+508+985+533+259+41</f>
        <v>20108</v>
      </c>
      <c r="X158" s="471">
        <f>4738+137+266+144+69</f>
        <v>5354</v>
      </c>
      <c r="Y158" s="471">
        <f>9814+986</f>
        <v>10800</v>
      </c>
      <c r="Z158" s="471">
        <v>0</v>
      </c>
      <c r="AA158" s="471"/>
      <c r="AB158" s="471">
        <v>17676</v>
      </c>
      <c r="AC158" s="471">
        <v>0</v>
      </c>
      <c r="AD158" s="474">
        <f t="shared" si="23"/>
        <v>0</v>
      </c>
      <c r="AE158" s="471">
        <v>2600</v>
      </c>
      <c r="AF158" s="471">
        <v>0</v>
      </c>
      <c r="AG158" s="471"/>
      <c r="AH158" s="473">
        <f t="shared" si="22"/>
        <v>56538</v>
      </c>
      <c r="AJ158" s="484"/>
    </row>
    <row r="159" spans="1:36" ht="12.75">
      <c r="A159" s="1417"/>
      <c r="B159" s="756" t="s">
        <v>326</v>
      </c>
      <c r="C159" s="757" t="s">
        <v>307</v>
      </c>
      <c r="D159" s="471">
        <v>666</v>
      </c>
      <c r="E159" s="471">
        <v>0</v>
      </c>
      <c r="F159" s="471">
        <f>8180+1121</f>
        <v>9301</v>
      </c>
      <c r="G159" s="471">
        <v>0</v>
      </c>
      <c r="H159" s="471">
        <v>677</v>
      </c>
      <c r="I159" s="471">
        <v>0</v>
      </c>
      <c r="J159" s="471">
        <v>0</v>
      </c>
      <c r="K159" s="471">
        <v>0</v>
      </c>
      <c r="L159" s="474">
        <f t="shared" si="29"/>
        <v>0</v>
      </c>
      <c r="M159" s="471">
        <v>0</v>
      </c>
      <c r="N159" s="471">
        <v>19307</v>
      </c>
      <c r="O159" s="471">
        <v>0</v>
      </c>
      <c r="P159" s="471">
        <v>0</v>
      </c>
      <c r="Q159" s="471">
        <f t="shared" si="30"/>
        <v>25936</v>
      </c>
      <c r="R159" s="471">
        <f t="shared" si="20"/>
        <v>29951</v>
      </c>
      <c r="S159" s="473">
        <f t="shared" si="21"/>
        <v>55887</v>
      </c>
      <c r="T159" s="1417"/>
      <c r="U159" s="756" t="s">
        <v>326</v>
      </c>
      <c r="V159" s="757" t="s">
        <v>307</v>
      </c>
      <c r="W159" s="471">
        <f>17782+508+985+533+259+41+2500+87+259-2500</f>
        <v>20454</v>
      </c>
      <c r="X159" s="471">
        <f>4738+137+266+144+69+675+23+69-675</f>
        <v>5446</v>
      </c>
      <c r="Y159" s="471">
        <f>9814+986+1121-613-537-584+900+1224</f>
        <v>12311</v>
      </c>
      <c r="Z159" s="471">
        <v>0</v>
      </c>
      <c r="AA159" s="471"/>
      <c r="AB159" s="471">
        <v>17676</v>
      </c>
      <c r="AC159" s="471">
        <v>0</v>
      </c>
      <c r="AD159" s="474">
        <f t="shared" si="23"/>
        <v>0</v>
      </c>
      <c r="AE159" s="471">
        <f>2600-2600</f>
        <v>0</v>
      </c>
      <c r="AF159" s="471">
        <v>0</v>
      </c>
      <c r="AG159" s="471"/>
      <c r="AH159" s="473">
        <f t="shared" si="22"/>
        <v>55887</v>
      </c>
      <c r="AJ159" s="484"/>
    </row>
    <row r="160" spans="1:36" ht="12.75">
      <c r="A160" s="1417"/>
      <c r="B160" s="756" t="s">
        <v>326</v>
      </c>
      <c r="C160" s="757" t="s">
        <v>308</v>
      </c>
      <c r="D160" s="471">
        <f>666-11</f>
        <v>655</v>
      </c>
      <c r="E160" s="471">
        <v>0</v>
      </c>
      <c r="F160" s="471">
        <f>8180+1121+1754</f>
        <v>11055</v>
      </c>
      <c r="G160" s="471">
        <v>0</v>
      </c>
      <c r="H160" s="471">
        <v>677</v>
      </c>
      <c r="I160" s="471">
        <v>0</v>
      </c>
      <c r="J160" s="471">
        <v>11697</v>
      </c>
      <c r="K160" s="471">
        <v>0</v>
      </c>
      <c r="L160" s="474">
        <f t="shared" si="29"/>
        <v>0</v>
      </c>
      <c r="M160" s="471">
        <v>0</v>
      </c>
      <c r="N160" s="471">
        <v>19307</v>
      </c>
      <c r="O160" s="471">
        <v>0</v>
      </c>
      <c r="P160" s="471">
        <v>0</v>
      </c>
      <c r="Q160" s="471">
        <f t="shared" si="30"/>
        <v>13308</v>
      </c>
      <c r="R160" s="471">
        <f t="shared" si="20"/>
        <v>43391</v>
      </c>
      <c r="S160" s="473">
        <f t="shared" si="21"/>
        <v>56699</v>
      </c>
      <c r="T160" s="1417"/>
      <c r="U160" s="756" t="s">
        <v>326</v>
      </c>
      <c r="V160" s="757" t="s">
        <v>308</v>
      </c>
      <c r="W160" s="471">
        <f>17782+508+985+533+259+41+2500+87+259-2500-670-59</f>
        <v>19725</v>
      </c>
      <c r="X160" s="471">
        <f>4738+137+266+144+69+675+23+69-675-181-32</f>
        <v>5233</v>
      </c>
      <c r="Y160" s="471">
        <f>9814+986+1121-613-537-584+900+1224+1754</f>
        <v>14065</v>
      </c>
      <c r="Z160" s="471">
        <v>0</v>
      </c>
      <c r="AA160" s="471"/>
      <c r="AB160" s="471">
        <v>17676</v>
      </c>
      <c r="AC160" s="471">
        <v>0</v>
      </c>
      <c r="AD160" s="474">
        <f t="shared" si="23"/>
        <v>0</v>
      </c>
      <c r="AE160" s="471">
        <f>2600-2600</f>
        <v>0</v>
      </c>
      <c r="AF160" s="471">
        <v>0</v>
      </c>
      <c r="AG160" s="471"/>
      <c r="AH160" s="473">
        <f t="shared" si="22"/>
        <v>56699</v>
      </c>
      <c r="AJ160" s="484"/>
    </row>
    <row r="161" spans="1:36" ht="12.75">
      <c r="A161" s="1417"/>
      <c r="B161" s="756" t="s">
        <v>651</v>
      </c>
      <c r="C161" s="757" t="s">
        <v>527</v>
      </c>
      <c r="D161" s="471">
        <v>655</v>
      </c>
      <c r="E161" s="471">
        <v>0</v>
      </c>
      <c r="F161" s="471">
        <v>11055</v>
      </c>
      <c r="G161" s="471">
        <v>0</v>
      </c>
      <c r="H161" s="471">
        <v>677</v>
      </c>
      <c r="I161" s="471">
        <v>0</v>
      </c>
      <c r="J161" s="471">
        <v>11697</v>
      </c>
      <c r="K161" s="471">
        <v>0</v>
      </c>
      <c r="L161" s="474">
        <f t="shared" si="29"/>
        <v>0</v>
      </c>
      <c r="M161" s="471">
        <v>0</v>
      </c>
      <c r="N161" s="471">
        <v>19307</v>
      </c>
      <c r="O161" s="471">
        <v>0</v>
      </c>
      <c r="P161" s="471">
        <v>0</v>
      </c>
      <c r="Q161" s="471">
        <f>13308+348</f>
        <v>13656</v>
      </c>
      <c r="R161" s="471">
        <v>43391</v>
      </c>
      <c r="S161" s="473">
        <f>56699+348</f>
        <v>57047</v>
      </c>
      <c r="T161" s="1417"/>
      <c r="U161" s="756" t="s">
        <v>651</v>
      </c>
      <c r="V161" s="757" t="s">
        <v>527</v>
      </c>
      <c r="W161" s="471">
        <f>19725+274</f>
        <v>19999</v>
      </c>
      <c r="X161" s="471">
        <f>5233+74</f>
        <v>5307</v>
      </c>
      <c r="Y161" s="471">
        <v>14065</v>
      </c>
      <c r="Z161" s="471">
        <v>0</v>
      </c>
      <c r="AA161" s="471"/>
      <c r="AB161" s="471">
        <v>17676</v>
      </c>
      <c r="AC161" s="471">
        <v>0</v>
      </c>
      <c r="AD161" s="474">
        <f t="shared" si="23"/>
        <v>0</v>
      </c>
      <c r="AE161" s="471">
        <v>0</v>
      </c>
      <c r="AF161" s="471">
        <v>0</v>
      </c>
      <c r="AG161" s="471"/>
      <c r="AH161" s="473">
        <f>56699+274+74</f>
        <v>57047</v>
      </c>
      <c r="AJ161" s="484"/>
    </row>
    <row r="162" spans="1:36" ht="13.5" thickBot="1">
      <c r="A162" s="1429"/>
      <c r="B162" s="773" t="s">
        <v>326</v>
      </c>
      <c r="C162" s="774" t="s">
        <v>321</v>
      </c>
      <c r="D162" s="479">
        <f>694+213</f>
        <v>907</v>
      </c>
      <c r="E162" s="479">
        <v>0</v>
      </c>
      <c r="F162" s="479">
        <v>11065</v>
      </c>
      <c r="G162" s="479"/>
      <c r="H162" s="479">
        <v>677</v>
      </c>
      <c r="I162" s="479">
        <v>0</v>
      </c>
      <c r="J162" s="479">
        <v>27783</v>
      </c>
      <c r="K162" s="479">
        <v>0</v>
      </c>
      <c r="L162" s="775">
        <f t="shared" si="29"/>
        <v>0</v>
      </c>
      <c r="M162" s="479">
        <v>0</v>
      </c>
      <c r="N162" s="479">
        <v>19307</v>
      </c>
      <c r="O162" s="479">
        <v>0</v>
      </c>
      <c r="P162" s="479">
        <v>-13</v>
      </c>
      <c r="Q162" s="479">
        <v>38483</v>
      </c>
      <c r="R162" s="479">
        <f>SUM(D162:P162)-E162</f>
        <v>59726</v>
      </c>
      <c r="S162" s="486">
        <f>Q162+R162</f>
        <v>98209</v>
      </c>
      <c r="T162" s="1429"/>
      <c r="U162" s="773" t="s">
        <v>326</v>
      </c>
      <c r="V162" s="774" t="s">
        <v>321</v>
      </c>
      <c r="W162" s="479">
        <v>18862</v>
      </c>
      <c r="X162" s="479">
        <v>4061</v>
      </c>
      <c r="Y162" s="479">
        <f>10547+1</f>
        <v>10548</v>
      </c>
      <c r="Z162" s="479"/>
      <c r="AA162" s="479"/>
      <c r="AB162" s="479">
        <v>17676</v>
      </c>
      <c r="AC162" s="479">
        <v>0</v>
      </c>
      <c r="AD162" s="479">
        <v>-926</v>
      </c>
      <c r="AE162" s="479">
        <v>0</v>
      </c>
      <c r="AF162" s="479">
        <v>0</v>
      </c>
      <c r="AG162" s="479"/>
      <c r="AH162" s="486">
        <f>SUM(W162:AF162)-Z162</f>
        <v>50221</v>
      </c>
      <c r="AJ162" s="484"/>
    </row>
    <row r="163" spans="1:36" s="1275" customFormat="1" ht="12.75">
      <c r="A163" s="1432" t="s">
        <v>327</v>
      </c>
      <c r="B163" s="1278" t="s">
        <v>328</v>
      </c>
      <c r="C163" s="768" t="s">
        <v>873</v>
      </c>
      <c r="D163" s="769">
        <f aca="true" t="shared" si="31" ref="D163:K164">D103+D127+D135+D155</f>
        <v>62288</v>
      </c>
      <c r="E163" s="769">
        <f t="shared" si="31"/>
        <v>44484</v>
      </c>
      <c r="F163" s="769">
        <f t="shared" si="31"/>
        <v>22374</v>
      </c>
      <c r="G163" s="769">
        <f t="shared" si="31"/>
        <v>0</v>
      </c>
      <c r="H163" s="769">
        <f t="shared" si="31"/>
        <v>9880</v>
      </c>
      <c r="I163" s="769">
        <f t="shared" si="31"/>
        <v>0</v>
      </c>
      <c r="J163" s="769">
        <f t="shared" si="31"/>
        <v>0</v>
      </c>
      <c r="K163" s="769">
        <f t="shared" si="31"/>
        <v>0</v>
      </c>
      <c r="L163" s="769">
        <f t="shared" si="29"/>
        <v>0</v>
      </c>
      <c r="M163" s="769">
        <f aca="true" t="shared" si="32" ref="M163:S169">M103+M127+M135+M155</f>
        <v>0</v>
      </c>
      <c r="N163" s="769">
        <f t="shared" si="32"/>
        <v>0</v>
      </c>
      <c r="O163" s="769">
        <f t="shared" si="32"/>
        <v>0</v>
      </c>
      <c r="P163" s="769">
        <f t="shared" si="32"/>
        <v>0</v>
      </c>
      <c r="Q163" s="769">
        <f t="shared" si="32"/>
        <v>233571</v>
      </c>
      <c r="R163" s="769">
        <f t="shared" si="32"/>
        <v>94542</v>
      </c>
      <c r="S163" s="770">
        <f t="shared" si="32"/>
        <v>328113</v>
      </c>
      <c r="T163" s="1432" t="s">
        <v>327</v>
      </c>
      <c r="U163" s="1278" t="s">
        <v>328</v>
      </c>
      <c r="V163" s="768" t="s">
        <v>873</v>
      </c>
      <c r="W163" s="769">
        <f aca="true" t="shared" si="33" ref="W163:Z164">W103+W127+W135+W155</f>
        <v>21244</v>
      </c>
      <c r="X163" s="769">
        <f t="shared" si="33"/>
        <v>5626</v>
      </c>
      <c r="Y163" s="769">
        <f t="shared" si="33"/>
        <v>289743</v>
      </c>
      <c r="Z163" s="769">
        <f t="shared" si="33"/>
        <v>121314</v>
      </c>
      <c r="AA163" s="769"/>
      <c r="AB163" s="769">
        <f>AB103+AB127+AB135+AB155</f>
        <v>0</v>
      </c>
      <c r="AC163" s="480">
        <v>0</v>
      </c>
      <c r="AD163" s="480">
        <v>0</v>
      </c>
      <c r="AE163" s="769">
        <f>AE103+AE127+AE135+AE155</f>
        <v>2100</v>
      </c>
      <c r="AF163" s="769">
        <f>AF103+AF127+AF135+AF155</f>
        <v>9400</v>
      </c>
      <c r="AG163" s="769"/>
      <c r="AH163" s="770">
        <f aca="true" t="shared" si="34" ref="AH163:AJ164">AH103+AH127+AH135+AH155</f>
        <v>328113</v>
      </c>
      <c r="AI163" s="481">
        <f t="shared" si="34"/>
        <v>0</v>
      </c>
      <c r="AJ163" s="474">
        <f t="shared" si="34"/>
        <v>328113</v>
      </c>
    </row>
    <row r="164" spans="1:36" s="1275" customFormat="1" ht="12.75">
      <c r="A164" s="1431"/>
      <c r="B164" s="475" t="s">
        <v>328</v>
      </c>
      <c r="C164" s="476" t="s">
        <v>304</v>
      </c>
      <c r="D164" s="474">
        <f t="shared" si="31"/>
        <v>62288</v>
      </c>
      <c r="E164" s="474">
        <f t="shared" si="31"/>
        <v>44484</v>
      </c>
      <c r="F164" s="474">
        <f t="shared" si="31"/>
        <v>22374</v>
      </c>
      <c r="G164" s="474">
        <f t="shared" si="31"/>
        <v>0</v>
      </c>
      <c r="H164" s="474">
        <f t="shared" si="31"/>
        <v>9880</v>
      </c>
      <c r="I164" s="474">
        <f t="shared" si="31"/>
        <v>0</v>
      </c>
      <c r="J164" s="474">
        <f t="shared" si="31"/>
        <v>0</v>
      </c>
      <c r="K164" s="474">
        <f t="shared" si="31"/>
        <v>0</v>
      </c>
      <c r="L164" s="474">
        <f t="shared" si="29"/>
        <v>0</v>
      </c>
      <c r="M164" s="474">
        <f t="shared" si="32"/>
        <v>0</v>
      </c>
      <c r="N164" s="474">
        <f t="shared" si="32"/>
        <v>0</v>
      </c>
      <c r="O164" s="474">
        <f t="shared" si="32"/>
        <v>0</v>
      </c>
      <c r="P164" s="474">
        <f t="shared" si="32"/>
        <v>0</v>
      </c>
      <c r="Q164" s="474">
        <f t="shared" si="32"/>
        <v>233571</v>
      </c>
      <c r="R164" s="474">
        <f t="shared" si="32"/>
        <v>94542</v>
      </c>
      <c r="S164" s="478">
        <f t="shared" si="32"/>
        <v>328113</v>
      </c>
      <c r="T164" s="1431"/>
      <c r="U164" s="475" t="s">
        <v>328</v>
      </c>
      <c r="V164" s="476" t="s">
        <v>304</v>
      </c>
      <c r="W164" s="474">
        <f t="shared" si="33"/>
        <v>21244</v>
      </c>
      <c r="X164" s="474">
        <f t="shared" si="33"/>
        <v>5626</v>
      </c>
      <c r="Y164" s="474">
        <f t="shared" si="33"/>
        <v>289743</v>
      </c>
      <c r="Z164" s="474">
        <f t="shared" si="33"/>
        <v>121314</v>
      </c>
      <c r="AA164" s="474"/>
      <c r="AB164" s="474">
        <f>AB104+AB128+AB136+AB156</f>
        <v>0</v>
      </c>
      <c r="AC164" s="471">
        <v>0</v>
      </c>
      <c r="AD164" s="471">
        <v>0</v>
      </c>
      <c r="AE164" s="474">
        <f>AE104+AE128+AE136+AE156</f>
        <v>2100</v>
      </c>
      <c r="AF164" s="474">
        <f>AF104+AF128+AF136+AF156</f>
        <v>9400</v>
      </c>
      <c r="AG164" s="474"/>
      <c r="AH164" s="478">
        <f t="shared" si="34"/>
        <v>328113</v>
      </c>
      <c r="AI164" s="481">
        <f t="shared" si="34"/>
        <v>0</v>
      </c>
      <c r="AJ164" s="474">
        <f t="shared" si="34"/>
        <v>206626</v>
      </c>
    </row>
    <row r="165" spans="1:36" s="1275" customFormat="1" ht="12.75">
      <c r="A165" s="1431"/>
      <c r="B165" s="475" t="s">
        <v>328</v>
      </c>
      <c r="C165" s="476" t="s">
        <v>305</v>
      </c>
      <c r="D165" s="474">
        <f aca="true" t="shared" si="35" ref="D165:S170">D105+D129+D137+D157+D149</f>
        <v>77241</v>
      </c>
      <c r="E165" s="474">
        <f t="shared" si="35"/>
        <v>59372</v>
      </c>
      <c r="F165" s="474">
        <f t="shared" si="35"/>
        <v>22374</v>
      </c>
      <c r="G165" s="474">
        <f t="shared" si="35"/>
        <v>0</v>
      </c>
      <c r="H165" s="474">
        <f t="shared" si="35"/>
        <v>9880</v>
      </c>
      <c r="I165" s="474">
        <f t="shared" si="35"/>
        <v>0</v>
      </c>
      <c r="J165" s="474">
        <f t="shared" si="35"/>
        <v>0</v>
      </c>
      <c r="K165" s="474">
        <f t="shared" si="35"/>
        <v>0</v>
      </c>
      <c r="L165" s="474">
        <f t="shared" si="35"/>
        <v>11754</v>
      </c>
      <c r="M165" s="474">
        <f t="shared" si="35"/>
        <v>0</v>
      </c>
      <c r="N165" s="474">
        <f t="shared" si="35"/>
        <v>20355</v>
      </c>
      <c r="O165" s="474">
        <f t="shared" si="32"/>
        <v>0</v>
      </c>
      <c r="P165" s="474">
        <f t="shared" si="32"/>
        <v>0</v>
      </c>
      <c r="Q165" s="474">
        <f t="shared" si="35"/>
        <v>249992</v>
      </c>
      <c r="R165" s="474">
        <f t="shared" si="35"/>
        <v>141604</v>
      </c>
      <c r="S165" s="478">
        <f t="shared" si="35"/>
        <v>391596</v>
      </c>
      <c r="T165" s="1431"/>
      <c r="U165" s="475" t="s">
        <v>328</v>
      </c>
      <c r="V165" s="476" t="s">
        <v>305</v>
      </c>
      <c r="W165" s="474">
        <f aca="true" t="shared" si="36" ref="W165:Z170">W105+W129+W137+W157+W149</f>
        <v>24076</v>
      </c>
      <c r="X165" s="474">
        <f t="shared" si="36"/>
        <v>6361</v>
      </c>
      <c r="Y165" s="474">
        <f t="shared" si="36"/>
        <v>331983</v>
      </c>
      <c r="Z165" s="474">
        <f t="shared" si="36"/>
        <v>150022</v>
      </c>
      <c r="AA165" s="474"/>
      <c r="AB165" s="474">
        <f>AB105+AB129+AB137+AB157+AB149</f>
        <v>17676</v>
      </c>
      <c r="AC165" s="471">
        <v>0</v>
      </c>
      <c r="AD165" s="471">
        <v>0</v>
      </c>
      <c r="AE165" s="474">
        <f aca="true" t="shared" si="37" ref="AE165:AF168">AE105+AE129+AE137+AE157+AE149</f>
        <v>2100</v>
      </c>
      <c r="AF165" s="474">
        <f t="shared" si="37"/>
        <v>9400</v>
      </c>
      <c r="AG165" s="474"/>
      <c r="AH165" s="478">
        <f aca="true" t="shared" si="38" ref="AH165:AH170">AH105+AH129+AH137+AH157+AH149</f>
        <v>391596</v>
      </c>
      <c r="AI165" s="481">
        <f>AI105+AI129+AI137+AI157</f>
        <v>0</v>
      </c>
      <c r="AJ165" s="474">
        <f>AJ105+AJ129+AJ137+AJ157</f>
        <v>206626</v>
      </c>
    </row>
    <row r="166" spans="1:36" s="1275" customFormat="1" ht="12.75">
      <c r="A166" s="1431"/>
      <c r="B166" s="475" t="s">
        <v>303</v>
      </c>
      <c r="C166" s="476" t="s">
        <v>306</v>
      </c>
      <c r="D166" s="474">
        <f t="shared" si="35"/>
        <v>77241</v>
      </c>
      <c r="E166" s="474">
        <f t="shared" si="35"/>
        <v>59372</v>
      </c>
      <c r="F166" s="474">
        <f t="shared" si="35"/>
        <v>22374</v>
      </c>
      <c r="G166" s="474">
        <f t="shared" si="35"/>
        <v>0</v>
      </c>
      <c r="H166" s="474">
        <f t="shared" si="35"/>
        <v>1917</v>
      </c>
      <c r="I166" s="474">
        <f t="shared" si="35"/>
        <v>0</v>
      </c>
      <c r="J166" s="474">
        <f t="shared" si="35"/>
        <v>0</v>
      </c>
      <c r="K166" s="474">
        <f t="shared" si="35"/>
        <v>0</v>
      </c>
      <c r="L166" s="474">
        <f t="shared" si="35"/>
        <v>11754</v>
      </c>
      <c r="M166" s="474">
        <f t="shared" si="35"/>
        <v>0</v>
      </c>
      <c r="N166" s="474">
        <f t="shared" si="35"/>
        <v>20355</v>
      </c>
      <c r="O166" s="474">
        <f t="shared" si="32"/>
        <v>0</v>
      </c>
      <c r="P166" s="474">
        <f t="shared" si="32"/>
        <v>0</v>
      </c>
      <c r="Q166" s="474">
        <f t="shared" si="35"/>
        <v>252920</v>
      </c>
      <c r="R166" s="474">
        <f t="shared" si="35"/>
        <v>133641</v>
      </c>
      <c r="S166" s="478">
        <f t="shared" si="35"/>
        <v>386561</v>
      </c>
      <c r="T166" s="1431"/>
      <c r="U166" s="475" t="s">
        <v>303</v>
      </c>
      <c r="V166" s="476" t="s">
        <v>306</v>
      </c>
      <c r="W166" s="474">
        <f t="shared" si="36"/>
        <v>24968</v>
      </c>
      <c r="X166" s="474">
        <f t="shared" si="36"/>
        <v>6474</v>
      </c>
      <c r="Y166" s="474">
        <f t="shared" si="36"/>
        <v>323027</v>
      </c>
      <c r="Z166" s="474">
        <f t="shared" si="36"/>
        <v>153722</v>
      </c>
      <c r="AA166" s="474"/>
      <c r="AB166" s="474">
        <f>AB106+AB130+AB138+AB158+AB150</f>
        <v>17676</v>
      </c>
      <c r="AC166" s="474">
        <f>AC106+AC130+AC138+AC158+AC150</f>
        <v>316</v>
      </c>
      <c r="AD166" s="471">
        <v>0</v>
      </c>
      <c r="AE166" s="474">
        <f t="shared" si="37"/>
        <v>4700</v>
      </c>
      <c r="AF166" s="474">
        <f t="shared" si="37"/>
        <v>9400</v>
      </c>
      <c r="AG166" s="474"/>
      <c r="AH166" s="478">
        <f t="shared" si="38"/>
        <v>386561</v>
      </c>
      <c r="AI166" s="758"/>
      <c r="AJ166" s="758"/>
    </row>
    <row r="167" spans="1:36" s="1275" customFormat="1" ht="12.75">
      <c r="A167" s="1431"/>
      <c r="B167" s="475" t="s">
        <v>303</v>
      </c>
      <c r="C167" s="476" t="s">
        <v>307</v>
      </c>
      <c r="D167" s="474">
        <f t="shared" si="35"/>
        <v>77241</v>
      </c>
      <c r="E167" s="474">
        <f t="shared" si="35"/>
        <v>59372</v>
      </c>
      <c r="F167" s="474">
        <f t="shared" si="35"/>
        <v>23495</v>
      </c>
      <c r="G167" s="474">
        <f t="shared" si="35"/>
        <v>0</v>
      </c>
      <c r="H167" s="474">
        <f t="shared" si="35"/>
        <v>1636</v>
      </c>
      <c r="I167" s="474">
        <f t="shared" si="35"/>
        <v>0</v>
      </c>
      <c r="J167" s="474">
        <f t="shared" si="35"/>
        <v>0</v>
      </c>
      <c r="K167" s="474">
        <f t="shared" si="35"/>
        <v>0</v>
      </c>
      <c r="L167" s="474">
        <f t="shared" si="35"/>
        <v>11754</v>
      </c>
      <c r="M167" s="474">
        <f t="shared" si="35"/>
        <v>0</v>
      </c>
      <c r="N167" s="474">
        <f t="shared" si="35"/>
        <v>20355</v>
      </c>
      <c r="O167" s="474">
        <f t="shared" si="32"/>
        <v>0</v>
      </c>
      <c r="P167" s="474">
        <f t="shared" si="32"/>
        <v>0</v>
      </c>
      <c r="Q167" s="474">
        <f t="shared" si="35"/>
        <v>251274</v>
      </c>
      <c r="R167" s="474">
        <f t="shared" si="35"/>
        <v>134481</v>
      </c>
      <c r="S167" s="478">
        <f t="shared" si="35"/>
        <v>385755</v>
      </c>
      <c r="T167" s="1431"/>
      <c r="U167" s="475" t="s">
        <v>303</v>
      </c>
      <c r="V167" s="476" t="s">
        <v>307</v>
      </c>
      <c r="W167" s="474">
        <f t="shared" si="36"/>
        <v>25314</v>
      </c>
      <c r="X167" s="474">
        <f t="shared" si="36"/>
        <v>6566</v>
      </c>
      <c r="Y167" s="474">
        <f t="shared" si="36"/>
        <v>324383</v>
      </c>
      <c r="Z167" s="474">
        <f t="shared" si="36"/>
        <v>150022</v>
      </c>
      <c r="AA167" s="474"/>
      <c r="AB167" s="474">
        <f>AB107+AB131+AB139+AB159+AB151</f>
        <v>17676</v>
      </c>
      <c r="AC167" s="474">
        <f>AC107+AC131+AC139+AC159+AC151</f>
        <v>316</v>
      </c>
      <c r="AD167" s="471">
        <v>0</v>
      </c>
      <c r="AE167" s="474">
        <f t="shared" si="37"/>
        <v>2100</v>
      </c>
      <c r="AF167" s="474">
        <f t="shared" si="37"/>
        <v>9400</v>
      </c>
      <c r="AG167" s="474"/>
      <c r="AH167" s="478">
        <f t="shared" si="38"/>
        <v>385755</v>
      </c>
      <c r="AI167" s="758"/>
      <c r="AJ167" s="758"/>
    </row>
    <row r="168" spans="1:36" s="1275" customFormat="1" ht="12.75">
      <c r="A168" s="1431"/>
      <c r="B168" s="475" t="s">
        <v>303</v>
      </c>
      <c r="C168" s="476" t="s">
        <v>308</v>
      </c>
      <c r="D168" s="474">
        <f t="shared" si="35"/>
        <v>74065</v>
      </c>
      <c r="E168" s="474">
        <f t="shared" si="35"/>
        <v>56207</v>
      </c>
      <c r="F168" s="474">
        <f t="shared" si="35"/>
        <v>28414</v>
      </c>
      <c r="G168" s="474">
        <f t="shared" si="35"/>
        <v>0</v>
      </c>
      <c r="H168" s="474">
        <f t="shared" si="35"/>
        <v>1647</v>
      </c>
      <c r="I168" s="474">
        <f t="shared" si="35"/>
        <v>0</v>
      </c>
      <c r="J168" s="474">
        <f t="shared" si="35"/>
        <v>11697</v>
      </c>
      <c r="K168" s="474">
        <f t="shared" si="35"/>
        <v>0</v>
      </c>
      <c r="L168" s="474">
        <f t="shared" si="35"/>
        <v>11754</v>
      </c>
      <c r="M168" s="474">
        <f t="shared" si="35"/>
        <v>0</v>
      </c>
      <c r="N168" s="474">
        <f t="shared" si="35"/>
        <v>20355</v>
      </c>
      <c r="O168" s="474">
        <f t="shared" si="32"/>
        <v>0</v>
      </c>
      <c r="P168" s="474">
        <f t="shared" si="32"/>
        <v>0</v>
      </c>
      <c r="Q168" s="474">
        <f t="shared" si="35"/>
        <v>238635</v>
      </c>
      <c r="R168" s="474">
        <f t="shared" si="35"/>
        <v>147932</v>
      </c>
      <c r="S168" s="478">
        <f t="shared" si="35"/>
        <v>386567</v>
      </c>
      <c r="T168" s="1431"/>
      <c r="U168" s="475" t="s">
        <v>303</v>
      </c>
      <c r="V168" s="476" t="s">
        <v>308</v>
      </c>
      <c r="W168" s="474">
        <f t="shared" si="36"/>
        <v>24585</v>
      </c>
      <c r="X168" s="474">
        <f t="shared" si="36"/>
        <v>6353</v>
      </c>
      <c r="Y168" s="474">
        <f t="shared" si="36"/>
        <v>324253</v>
      </c>
      <c r="Z168" s="474">
        <f t="shared" si="36"/>
        <v>146554</v>
      </c>
      <c r="AA168" s="474"/>
      <c r="AB168" s="474">
        <f>AB108+AB132+AB140+AB160+AB152</f>
        <v>17676</v>
      </c>
      <c r="AC168" s="474">
        <f>AC108+AC132+AC140+AC160+AC152</f>
        <v>316</v>
      </c>
      <c r="AD168" s="471">
        <v>0</v>
      </c>
      <c r="AE168" s="474">
        <f t="shared" si="37"/>
        <v>2100</v>
      </c>
      <c r="AF168" s="474">
        <f t="shared" si="37"/>
        <v>11284</v>
      </c>
      <c r="AG168" s="474"/>
      <c r="AH168" s="478">
        <f t="shared" si="38"/>
        <v>386567</v>
      </c>
      <c r="AI168" s="758"/>
      <c r="AJ168" s="758"/>
    </row>
    <row r="169" spans="1:36" s="1275" customFormat="1" ht="12.75">
      <c r="A169" s="1431"/>
      <c r="B169" s="475" t="s">
        <v>303</v>
      </c>
      <c r="C169" s="476" t="s">
        <v>527</v>
      </c>
      <c r="D169" s="474">
        <f t="shared" si="35"/>
        <v>74065</v>
      </c>
      <c r="E169" s="474">
        <f t="shared" si="35"/>
        <v>56207</v>
      </c>
      <c r="F169" s="474">
        <f t="shared" si="35"/>
        <v>28414</v>
      </c>
      <c r="G169" s="474">
        <f t="shared" si="35"/>
        <v>0</v>
      </c>
      <c r="H169" s="474">
        <f t="shared" si="35"/>
        <v>1647</v>
      </c>
      <c r="I169" s="474">
        <f t="shared" si="35"/>
        <v>0</v>
      </c>
      <c r="J169" s="474">
        <f t="shared" si="35"/>
        <v>11697</v>
      </c>
      <c r="K169" s="474">
        <f t="shared" si="35"/>
        <v>0</v>
      </c>
      <c r="L169" s="474">
        <f t="shared" si="35"/>
        <v>11754</v>
      </c>
      <c r="M169" s="474">
        <f t="shared" si="35"/>
        <v>0</v>
      </c>
      <c r="N169" s="474">
        <f t="shared" si="35"/>
        <v>20355</v>
      </c>
      <c r="O169" s="474">
        <f t="shared" si="32"/>
        <v>0</v>
      </c>
      <c r="P169" s="474">
        <f t="shared" si="32"/>
        <v>0</v>
      </c>
      <c r="Q169" s="474">
        <f t="shared" si="35"/>
        <v>238983</v>
      </c>
      <c r="R169" s="474">
        <f t="shared" si="35"/>
        <v>147932</v>
      </c>
      <c r="S169" s="478">
        <f t="shared" si="35"/>
        <v>386915</v>
      </c>
      <c r="T169" s="1431"/>
      <c r="U169" s="475" t="s">
        <v>303</v>
      </c>
      <c r="V169" s="476" t="s">
        <v>527</v>
      </c>
      <c r="W169" s="474">
        <f t="shared" si="36"/>
        <v>24859</v>
      </c>
      <c r="X169" s="474">
        <f t="shared" si="36"/>
        <v>6427</v>
      </c>
      <c r="Y169" s="474">
        <f t="shared" si="36"/>
        <v>324253</v>
      </c>
      <c r="Z169" s="474">
        <f t="shared" si="36"/>
        <v>146554</v>
      </c>
      <c r="AA169" s="474"/>
      <c r="AB169" s="474">
        <f aca="true" t="shared" si="39" ref="AB169:AF170">AB109+AB133+AB141+AB161+AB153</f>
        <v>17676</v>
      </c>
      <c r="AC169" s="474">
        <f t="shared" si="39"/>
        <v>316</v>
      </c>
      <c r="AD169" s="471">
        <v>0</v>
      </c>
      <c r="AE169" s="474">
        <f t="shared" si="39"/>
        <v>2100</v>
      </c>
      <c r="AF169" s="474">
        <f t="shared" si="39"/>
        <v>11284</v>
      </c>
      <c r="AG169" s="474"/>
      <c r="AH169" s="478">
        <f t="shared" si="38"/>
        <v>386915</v>
      </c>
      <c r="AI169" s="758"/>
      <c r="AJ169" s="758"/>
    </row>
    <row r="170" spans="1:36" s="1275" customFormat="1" ht="12.75">
      <c r="A170" s="1431"/>
      <c r="B170" s="475" t="s">
        <v>303</v>
      </c>
      <c r="C170" s="476" t="s">
        <v>321</v>
      </c>
      <c r="D170" s="474">
        <f>D110+D134+D142+D162+D154</f>
        <v>58719</v>
      </c>
      <c r="E170" s="474">
        <f t="shared" si="35"/>
        <v>46698</v>
      </c>
      <c r="F170" s="474">
        <f t="shared" si="35"/>
        <v>25628</v>
      </c>
      <c r="G170" s="474">
        <f t="shared" si="35"/>
        <v>0</v>
      </c>
      <c r="H170" s="474">
        <f t="shared" si="35"/>
        <v>1647</v>
      </c>
      <c r="I170" s="474">
        <f t="shared" si="35"/>
        <v>0</v>
      </c>
      <c r="J170" s="474">
        <f t="shared" si="35"/>
        <v>27783</v>
      </c>
      <c r="K170" s="474">
        <f t="shared" si="35"/>
        <v>0</v>
      </c>
      <c r="L170" s="474">
        <f t="shared" si="35"/>
        <v>11754</v>
      </c>
      <c r="M170" s="474">
        <f t="shared" si="35"/>
        <v>0</v>
      </c>
      <c r="N170" s="474">
        <f t="shared" si="35"/>
        <v>20355</v>
      </c>
      <c r="O170" s="474">
        <f t="shared" si="35"/>
        <v>0</v>
      </c>
      <c r="P170" s="474">
        <f t="shared" si="35"/>
        <v>-13</v>
      </c>
      <c r="Q170" s="474">
        <f>Q110+Q134+Q142+Q162+Q154</f>
        <v>256912</v>
      </c>
      <c r="R170" s="474">
        <f t="shared" si="35"/>
        <v>145873</v>
      </c>
      <c r="S170" s="478">
        <f t="shared" si="35"/>
        <v>402785</v>
      </c>
      <c r="T170" s="1431"/>
      <c r="U170" s="475" t="s">
        <v>303</v>
      </c>
      <c r="V170" s="476" t="s">
        <v>321</v>
      </c>
      <c r="W170" s="474">
        <f t="shared" si="36"/>
        <v>23719</v>
      </c>
      <c r="X170" s="474">
        <f t="shared" si="36"/>
        <v>5178</v>
      </c>
      <c r="Y170" s="474">
        <f>Y110+Y134+Y142+Y162+Y154</f>
        <v>295629</v>
      </c>
      <c r="Z170" s="474">
        <f t="shared" si="36"/>
        <v>170239</v>
      </c>
      <c r="AA170" s="474"/>
      <c r="AB170" s="474">
        <f t="shared" si="39"/>
        <v>17676</v>
      </c>
      <c r="AC170" s="474">
        <f t="shared" si="39"/>
        <v>316</v>
      </c>
      <c r="AD170" s="474">
        <f t="shared" si="39"/>
        <v>-926</v>
      </c>
      <c r="AE170" s="474">
        <f t="shared" si="39"/>
        <v>2159</v>
      </c>
      <c r="AF170" s="474">
        <f t="shared" si="39"/>
        <v>11046</v>
      </c>
      <c r="AG170" s="474"/>
      <c r="AH170" s="478">
        <f t="shared" si="38"/>
        <v>354797</v>
      </c>
      <c r="AI170" s="758"/>
      <c r="AJ170" s="758"/>
    </row>
    <row r="171" spans="1:36" ht="12.75">
      <c r="A171" s="1417" t="s">
        <v>329</v>
      </c>
      <c r="B171" s="756" t="s">
        <v>303</v>
      </c>
      <c r="C171" s="757" t="s">
        <v>873</v>
      </c>
      <c r="D171" s="471">
        <v>1230</v>
      </c>
      <c r="E171" s="471">
        <v>0</v>
      </c>
      <c r="F171" s="471">
        <v>332</v>
      </c>
      <c r="G171" s="471">
        <v>0</v>
      </c>
      <c r="H171" s="471">
        <v>0</v>
      </c>
      <c r="I171" s="471">
        <v>0</v>
      </c>
      <c r="J171" s="471">
        <v>10000</v>
      </c>
      <c r="K171" s="471">
        <v>0</v>
      </c>
      <c r="L171" s="471"/>
      <c r="M171" s="471">
        <v>0</v>
      </c>
      <c r="N171" s="471">
        <v>0</v>
      </c>
      <c r="O171" s="471">
        <v>0</v>
      </c>
      <c r="P171" s="471">
        <v>0</v>
      </c>
      <c r="Q171" s="471">
        <f aca="true" t="shared" si="40" ref="Q171:Q196">AH171-R171</f>
        <v>38503</v>
      </c>
      <c r="R171" s="471">
        <f aca="true" t="shared" si="41" ref="R171:R197">SUM(D171:O171)-E171</f>
        <v>11562</v>
      </c>
      <c r="S171" s="473">
        <f aca="true" t="shared" si="42" ref="S171:S197">Q171+R171</f>
        <v>50065</v>
      </c>
      <c r="T171" s="1417" t="s">
        <v>329</v>
      </c>
      <c r="U171" s="756" t="s">
        <v>303</v>
      </c>
      <c r="V171" s="757" t="s">
        <v>873</v>
      </c>
      <c r="W171" s="471">
        <v>21951</v>
      </c>
      <c r="X171" s="471">
        <v>5305</v>
      </c>
      <c r="Y171" s="471">
        <v>22809</v>
      </c>
      <c r="Z171" s="471">
        <v>0</v>
      </c>
      <c r="AA171" s="471"/>
      <c r="AB171" s="471">
        <v>0</v>
      </c>
      <c r="AC171" s="471">
        <v>0</v>
      </c>
      <c r="AD171" s="471">
        <v>0</v>
      </c>
      <c r="AE171" s="471">
        <v>0</v>
      </c>
      <c r="AF171" s="471">
        <v>0</v>
      </c>
      <c r="AG171" s="471"/>
      <c r="AH171" s="473">
        <f aca="true" t="shared" si="43" ref="AH171:AH196">SUM(W171:AF171)-Z171</f>
        <v>50065</v>
      </c>
      <c r="AJ171" s="484">
        <v>50065</v>
      </c>
    </row>
    <row r="172" spans="1:36" ht="12.75">
      <c r="A172" s="1417"/>
      <c r="B172" s="756" t="s">
        <v>303</v>
      </c>
      <c r="C172" s="757" t="s">
        <v>304</v>
      </c>
      <c r="D172" s="471">
        <v>1230</v>
      </c>
      <c r="E172" s="471">
        <v>0</v>
      </c>
      <c r="F172" s="471">
        <v>332</v>
      </c>
      <c r="G172" s="471">
        <v>0</v>
      </c>
      <c r="H172" s="471">
        <v>0</v>
      </c>
      <c r="I172" s="471">
        <v>0</v>
      </c>
      <c r="J172" s="471">
        <v>10000</v>
      </c>
      <c r="K172" s="471">
        <v>0</v>
      </c>
      <c r="L172" s="471"/>
      <c r="M172" s="471">
        <v>0</v>
      </c>
      <c r="N172" s="471">
        <v>0</v>
      </c>
      <c r="O172" s="471">
        <v>0</v>
      </c>
      <c r="P172" s="471">
        <v>0</v>
      </c>
      <c r="Q172" s="471">
        <f t="shared" si="40"/>
        <v>38503</v>
      </c>
      <c r="R172" s="471">
        <f t="shared" si="41"/>
        <v>11562</v>
      </c>
      <c r="S172" s="473">
        <f t="shared" si="42"/>
        <v>50065</v>
      </c>
      <c r="T172" s="1417"/>
      <c r="U172" s="756" t="s">
        <v>303</v>
      </c>
      <c r="V172" s="757" t="s">
        <v>304</v>
      </c>
      <c r="W172" s="471">
        <v>21951</v>
      </c>
      <c r="X172" s="471">
        <v>5305</v>
      </c>
      <c r="Y172" s="471">
        <v>22809</v>
      </c>
      <c r="Z172" s="471">
        <v>0</v>
      </c>
      <c r="AA172" s="471"/>
      <c r="AB172" s="471">
        <v>0</v>
      </c>
      <c r="AC172" s="471">
        <v>0</v>
      </c>
      <c r="AD172" s="471">
        <v>0</v>
      </c>
      <c r="AE172" s="471">
        <v>0</v>
      </c>
      <c r="AF172" s="471">
        <v>0</v>
      </c>
      <c r="AG172" s="471"/>
      <c r="AH172" s="473">
        <f t="shared" si="43"/>
        <v>50065</v>
      </c>
      <c r="AJ172" s="484">
        <v>50065</v>
      </c>
    </row>
    <row r="173" spans="1:36" ht="12.75">
      <c r="A173" s="1417"/>
      <c r="B173" s="756" t="s">
        <v>303</v>
      </c>
      <c r="C173" s="757" t="s">
        <v>305</v>
      </c>
      <c r="D173" s="471">
        <v>1230</v>
      </c>
      <c r="E173" s="471">
        <v>0</v>
      </c>
      <c r="F173" s="471">
        <v>332</v>
      </c>
      <c r="G173" s="471">
        <v>0</v>
      </c>
      <c r="H173" s="471">
        <v>0</v>
      </c>
      <c r="I173" s="471">
        <v>0</v>
      </c>
      <c r="J173" s="471">
        <v>10000</v>
      </c>
      <c r="K173" s="471">
        <v>0</v>
      </c>
      <c r="L173" s="471">
        <v>948</v>
      </c>
      <c r="M173" s="471">
        <v>0</v>
      </c>
      <c r="N173" s="471">
        <v>4807</v>
      </c>
      <c r="O173" s="471">
        <v>0</v>
      </c>
      <c r="P173" s="471">
        <v>0</v>
      </c>
      <c r="Q173" s="471">
        <f t="shared" si="40"/>
        <v>40527</v>
      </c>
      <c r="R173" s="471">
        <f t="shared" si="41"/>
        <v>17317</v>
      </c>
      <c r="S173" s="473">
        <f t="shared" si="42"/>
        <v>57844</v>
      </c>
      <c r="T173" s="1417"/>
      <c r="U173" s="756" t="s">
        <v>303</v>
      </c>
      <c r="V173" s="757" t="s">
        <v>305</v>
      </c>
      <c r="W173" s="471">
        <f>21951+2000+255</f>
        <v>24206</v>
      </c>
      <c r="X173" s="471">
        <f>5305+540+69</f>
        <v>5914</v>
      </c>
      <c r="Y173" s="471">
        <f>22809+1700+3215</f>
        <v>27724</v>
      </c>
      <c r="Z173" s="471">
        <v>0</v>
      </c>
      <c r="AA173" s="471"/>
      <c r="AB173" s="471">
        <v>0</v>
      </c>
      <c r="AC173" s="471">
        <v>0</v>
      </c>
      <c r="AD173" s="471">
        <v>0</v>
      </c>
      <c r="AE173" s="471">
        <v>0</v>
      </c>
      <c r="AF173" s="471">
        <v>0</v>
      </c>
      <c r="AG173" s="471"/>
      <c r="AH173" s="473">
        <f t="shared" si="43"/>
        <v>57844</v>
      </c>
      <c r="AJ173" s="484">
        <v>50065</v>
      </c>
    </row>
    <row r="174" spans="1:36" ht="12.75">
      <c r="A174" s="1417"/>
      <c r="B174" s="756" t="s">
        <v>303</v>
      </c>
      <c r="C174" s="757" t="s">
        <v>306</v>
      </c>
      <c r="D174" s="471">
        <v>1230</v>
      </c>
      <c r="E174" s="471">
        <v>0</v>
      </c>
      <c r="F174" s="471">
        <v>332</v>
      </c>
      <c r="G174" s="471">
        <v>0</v>
      </c>
      <c r="H174" s="471">
        <v>0</v>
      </c>
      <c r="I174" s="471">
        <v>0</v>
      </c>
      <c r="J174" s="471">
        <v>10000</v>
      </c>
      <c r="K174" s="471">
        <v>0</v>
      </c>
      <c r="L174" s="471">
        <v>948</v>
      </c>
      <c r="M174" s="471">
        <v>0</v>
      </c>
      <c r="N174" s="471">
        <v>4807</v>
      </c>
      <c r="O174" s="471">
        <v>0</v>
      </c>
      <c r="P174" s="471">
        <v>0</v>
      </c>
      <c r="Q174" s="471">
        <f t="shared" si="40"/>
        <v>42632</v>
      </c>
      <c r="R174" s="471">
        <f t="shared" si="41"/>
        <v>17317</v>
      </c>
      <c r="S174" s="473">
        <f t="shared" si="42"/>
        <v>59949</v>
      </c>
      <c r="T174" s="1417"/>
      <c r="U174" s="756" t="s">
        <v>303</v>
      </c>
      <c r="V174" s="757" t="s">
        <v>306</v>
      </c>
      <c r="W174" s="471">
        <f>21951+2000+255+255</f>
        <v>24461</v>
      </c>
      <c r="X174" s="471">
        <f>5305+540+69+69</f>
        <v>5983</v>
      </c>
      <c r="Y174" s="471">
        <f>22809+1700+3215+1781</f>
        <v>29505</v>
      </c>
      <c r="Z174" s="471">
        <v>0</v>
      </c>
      <c r="AA174" s="471"/>
      <c r="AB174" s="471">
        <v>0</v>
      </c>
      <c r="AC174" s="471">
        <v>0</v>
      </c>
      <c r="AD174" s="471">
        <v>0</v>
      </c>
      <c r="AE174" s="471">
        <v>0</v>
      </c>
      <c r="AF174" s="471">
        <v>0</v>
      </c>
      <c r="AG174" s="471"/>
      <c r="AH174" s="473">
        <f t="shared" si="43"/>
        <v>59949</v>
      </c>
      <c r="AJ174" s="484"/>
    </row>
    <row r="175" spans="1:36" ht="12.75">
      <c r="A175" s="1417"/>
      <c r="B175" s="756" t="s">
        <v>303</v>
      </c>
      <c r="C175" s="757" t="s">
        <v>307</v>
      </c>
      <c r="D175" s="471">
        <f>1230+102+69</f>
        <v>1401</v>
      </c>
      <c r="E175" s="471">
        <v>0</v>
      </c>
      <c r="F175" s="471">
        <v>332</v>
      </c>
      <c r="G175" s="471">
        <v>0</v>
      </c>
      <c r="H175" s="471">
        <v>0</v>
      </c>
      <c r="I175" s="471">
        <v>0</v>
      </c>
      <c r="J175" s="471">
        <f>10000+4308</f>
        <v>14308</v>
      </c>
      <c r="K175" s="471">
        <v>0</v>
      </c>
      <c r="L175" s="471">
        <v>948</v>
      </c>
      <c r="M175" s="471">
        <v>0</v>
      </c>
      <c r="N175" s="471">
        <v>4807</v>
      </c>
      <c r="O175" s="471">
        <v>0</v>
      </c>
      <c r="P175" s="471">
        <v>0</v>
      </c>
      <c r="Q175" s="471">
        <f>AH175-R175</f>
        <v>38867</v>
      </c>
      <c r="R175" s="471">
        <f>SUM(D175:O175)-E175</f>
        <v>21796</v>
      </c>
      <c r="S175" s="473">
        <f>Q175+R175</f>
        <v>60663</v>
      </c>
      <c r="T175" s="1417"/>
      <c r="U175" s="756" t="s">
        <v>303</v>
      </c>
      <c r="V175" s="757" t="s">
        <v>307</v>
      </c>
      <c r="W175" s="471">
        <f>21951+2000+255+255+3392+87+340-3392</f>
        <v>24888</v>
      </c>
      <c r="X175" s="471">
        <f>5305+540+69+69+916+24+92-916</f>
        <v>6099</v>
      </c>
      <c r="Y175" s="471">
        <f>22809+1700+3215+1781+102+69-530</f>
        <v>29146</v>
      </c>
      <c r="Z175" s="471">
        <v>0</v>
      </c>
      <c r="AA175" s="471"/>
      <c r="AB175" s="471">
        <v>0</v>
      </c>
      <c r="AC175" s="471">
        <v>0</v>
      </c>
      <c r="AD175" s="471">
        <v>0</v>
      </c>
      <c r="AE175" s="471">
        <v>530</v>
      </c>
      <c r="AF175" s="471">
        <v>0</v>
      </c>
      <c r="AG175" s="471"/>
      <c r="AH175" s="473">
        <f>SUM(W175:AF175)-Z175</f>
        <v>60663</v>
      </c>
      <c r="AJ175" s="484"/>
    </row>
    <row r="176" spans="1:36" ht="12.75">
      <c r="A176" s="1417"/>
      <c r="B176" s="756" t="s">
        <v>303</v>
      </c>
      <c r="C176" s="757" t="s">
        <v>308</v>
      </c>
      <c r="D176" s="471">
        <f>1230+102+69-70-102</f>
        <v>1229</v>
      </c>
      <c r="E176" s="471">
        <v>0</v>
      </c>
      <c r="F176" s="471">
        <f>332</f>
        <v>332</v>
      </c>
      <c r="G176" s="471">
        <v>0</v>
      </c>
      <c r="H176" s="471">
        <v>70</v>
      </c>
      <c r="I176" s="471">
        <v>0</v>
      </c>
      <c r="J176" s="471">
        <f>10000+4308+102</f>
        <v>14410</v>
      </c>
      <c r="K176" s="471">
        <v>0</v>
      </c>
      <c r="L176" s="471">
        <v>948</v>
      </c>
      <c r="M176" s="471">
        <v>0</v>
      </c>
      <c r="N176" s="471">
        <v>4807</v>
      </c>
      <c r="O176" s="471">
        <v>0</v>
      </c>
      <c r="P176" s="471">
        <v>0</v>
      </c>
      <c r="Q176" s="471">
        <f>AH176-R176</f>
        <v>50672</v>
      </c>
      <c r="R176" s="471">
        <f>SUM(D176:O176)-E176</f>
        <v>21796</v>
      </c>
      <c r="S176" s="473">
        <f>Q176+R176</f>
        <v>72468</v>
      </c>
      <c r="T176" s="1417"/>
      <c r="U176" s="756" t="s">
        <v>303</v>
      </c>
      <c r="V176" s="757" t="s">
        <v>308</v>
      </c>
      <c r="W176" s="471">
        <f>21951+2000+255+255+3392+87+340-3392+85</f>
        <v>24973</v>
      </c>
      <c r="X176" s="471">
        <f>5305+540+69+69+916+24+92-916+23</f>
        <v>6122</v>
      </c>
      <c r="Y176" s="471">
        <f>22809+1700+3215+1781+102+69-530-1475</f>
        <v>27671</v>
      </c>
      <c r="Z176" s="471">
        <v>0</v>
      </c>
      <c r="AA176" s="471"/>
      <c r="AB176" s="471">
        <v>0</v>
      </c>
      <c r="AC176" s="471">
        <v>11697</v>
      </c>
      <c r="AD176" s="471">
        <v>0</v>
      </c>
      <c r="AE176" s="471">
        <f>530+1475</f>
        <v>2005</v>
      </c>
      <c r="AF176" s="471">
        <v>0</v>
      </c>
      <c r="AG176" s="471"/>
      <c r="AH176" s="473">
        <f>SUM(W176:AF176)-Z176</f>
        <v>72468</v>
      </c>
      <c r="AJ176" s="484"/>
    </row>
    <row r="177" spans="1:36" ht="12.75">
      <c r="A177" s="1417"/>
      <c r="B177" s="756" t="s">
        <v>303</v>
      </c>
      <c r="C177" s="757" t="s">
        <v>527</v>
      </c>
      <c r="D177" s="471">
        <f>1230+102+69-70-102</f>
        <v>1229</v>
      </c>
      <c r="E177" s="471">
        <v>0</v>
      </c>
      <c r="F177" s="471">
        <f>332</f>
        <v>332</v>
      </c>
      <c r="G177" s="471">
        <v>0</v>
      </c>
      <c r="H177" s="471">
        <v>70</v>
      </c>
      <c r="I177" s="471">
        <v>0</v>
      </c>
      <c r="J177" s="471">
        <f>10000+4308+102</f>
        <v>14410</v>
      </c>
      <c r="K177" s="471">
        <v>0</v>
      </c>
      <c r="L177" s="471">
        <v>948</v>
      </c>
      <c r="M177" s="471">
        <v>0</v>
      </c>
      <c r="N177" s="471">
        <v>4807</v>
      </c>
      <c r="O177" s="471">
        <v>0</v>
      </c>
      <c r="P177" s="471">
        <v>0</v>
      </c>
      <c r="Q177" s="471">
        <f>AH177-R177</f>
        <v>50672</v>
      </c>
      <c r="R177" s="471">
        <f>SUM(D177:O177)-E177</f>
        <v>21796</v>
      </c>
      <c r="S177" s="473">
        <f>Q177+R177</f>
        <v>72468</v>
      </c>
      <c r="T177" s="1417"/>
      <c r="U177" s="756" t="s">
        <v>303</v>
      </c>
      <c r="V177" s="757" t="s">
        <v>527</v>
      </c>
      <c r="W177" s="471">
        <f>21951+2000+255+255+3392+87+340-3392+85</f>
        <v>24973</v>
      </c>
      <c r="X177" s="471">
        <f>5305+540+69+69+916+24+92-916+23</f>
        <v>6122</v>
      </c>
      <c r="Y177" s="471">
        <f>22809+1700+3215+1781+102+69-530-1475</f>
        <v>27671</v>
      </c>
      <c r="Z177" s="471">
        <v>0</v>
      </c>
      <c r="AA177" s="471"/>
      <c r="AB177" s="471">
        <v>0</v>
      </c>
      <c r="AC177" s="471">
        <v>11697</v>
      </c>
      <c r="AD177" s="471">
        <v>0</v>
      </c>
      <c r="AE177" s="471">
        <f>530+1475</f>
        <v>2005</v>
      </c>
      <c r="AF177" s="471">
        <v>0</v>
      </c>
      <c r="AG177" s="471"/>
      <c r="AH177" s="473">
        <f>SUM(W177:AF177)-Z177</f>
        <v>72468</v>
      </c>
      <c r="AJ177" s="484"/>
    </row>
    <row r="178" spans="1:36" ht="12.75">
      <c r="A178" s="1417"/>
      <c r="B178" s="756" t="s">
        <v>303</v>
      </c>
      <c r="C178" s="757" t="s">
        <v>321</v>
      </c>
      <c r="D178" s="471">
        <f>241+1106+258</f>
        <v>1605</v>
      </c>
      <c r="E178" s="471">
        <v>0</v>
      </c>
      <c r="F178" s="471">
        <v>365</v>
      </c>
      <c r="G178" s="471"/>
      <c r="H178" s="471">
        <v>70</v>
      </c>
      <c r="I178" s="471">
        <v>0</v>
      </c>
      <c r="J178" s="471">
        <v>14410</v>
      </c>
      <c r="K178" s="471">
        <v>0</v>
      </c>
      <c r="L178" s="471">
        <v>948</v>
      </c>
      <c r="M178" s="471"/>
      <c r="N178" s="471">
        <v>4807</v>
      </c>
      <c r="O178" s="471">
        <v>0</v>
      </c>
      <c r="P178" s="471">
        <v>0</v>
      </c>
      <c r="Q178" s="471">
        <v>39589</v>
      </c>
      <c r="R178" s="471">
        <f>SUM(D178:O178)-E178</f>
        <v>22205</v>
      </c>
      <c r="S178" s="473">
        <f>Q178+R178</f>
        <v>61794</v>
      </c>
      <c r="T178" s="1417"/>
      <c r="U178" s="756" t="s">
        <v>303</v>
      </c>
      <c r="V178" s="757" t="s">
        <v>321</v>
      </c>
      <c r="W178" s="471">
        <v>20507</v>
      </c>
      <c r="X178" s="471">
        <v>5396</v>
      </c>
      <c r="Y178" s="471">
        <v>21316</v>
      </c>
      <c r="Z178" s="471">
        <v>0</v>
      </c>
      <c r="AA178" s="471"/>
      <c r="AB178" s="471">
        <v>0</v>
      </c>
      <c r="AC178" s="471">
        <v>11697</v>
      </c>
      <c r="AD178" s="471">
        <v>1</v>
      </c>
      <c r="AE178" s="471">
        <v>2005</v>
      </c>
      <c r="AF178" s="471">
        <v>0</v>
      </c>
      <c r="AG178" s="471"/>
      <c r="AH178" s="473">
        <f>SUM(W178:AF178)-Z178</f>
        <v>60922</v>
      </c>
      <c r="AJ178" s="484"/>
    </row>
    <row r="179" spans="1:36" ht="12.75" customHeight="1">
      <c r="A179" s="1417" t="s">
        <v>330</v>
      </c>
      <c r="B179" s="756" t="s">
        <v>303</v>
      </c>
      <c r="C179" s="757" t="s">
        <v>873</v>
      </c>
      <c r="D179" s="471">
        <v>480</v>
      </c>
      <c r="E179" s="471">
        <v>0</v>
      </c>
      <c r="F179" s="471">
        <v>130</v>
      </c>
      <c r="G179" s="471">
        <v>0</v>
      </c>
      <c r="H179" s="471">
        <v>0</v>
      </c>
      <c r="I179" s="471">
        <v>0</v>
      </c>
      <c r="J179" s="471">
        <v>0</v>
      </c>
      <c r="K179" s="471">
        <v>0</v>
      </c>
      <c r="L179" s="471">
        <v>0</v>
      </c>
      <c r="M179" s="471">
        <v>0</v>
      </c>
      <c r="N179" s="471">
        <v>0</v>
      </c>
      <c r="O179" s="471">
        <v>0</v>
      </c>
      <c r="P179" s="471">
        <v>0</v>
      </c>
      <c r="Q179" s="471">
        <f t="shared" si="40"/>
        <v>2739</v>
      </c>
      <c r="R179" s="471">
        <f t="shared" si="41"/>
        <v>610</v>
      </c>
      <c r="S179" s="473">
        <f t="shared" si="42"/>
        <v>3349</v>
      </c>
      <c r="T179" s="1417" t="s">
        <v>330</v>
      </c>
      <c r="U179" s="756" t="s">
        <v>303</v>
      </c>
      <c r="V179" s="757" t="s">
        <v>873</v>
      </c>
      <c r="W179" s="471">
        <v>1518</v>
      </c>
      <c r="X179" s="471">
        <v>0</v>
      </c>
      <c r="Y179" s="471">
        <v>469</v>
      </c>
      <c r="Z179" s="471">
        <v>0</v>
      </c>
      <c r="AA179" s="471"/>
      <c r="AB179" s="471">
        <v>0</v>
      </c>
      <c r="AC179" s="471">
        <v>0</v>
      </c>
      <c r="AD179" s="471">
        <v>0</v>
      </c>
      <c r="AE179" s="471">
        <v>1362</v>
      </c>
      <c r="AF179" s="471">
        <v>0</v>
      </c>
      <c r="AG179" s="471"/>
      <c r="AH179" s="473">
        <f t="shared" si="43"/>
        <v>3349</v>
      </c>
      <c r="AJ179" s="484">
        <v>3349</v>
      </c>
    </row>
    <row r="180" spans="1:36" ht="12.75">
      <c r="A180" s="1417"/>
      <c r="B180" s="756" t="s">
        <v>303</v>
      </c>
      <c r="C180" s="757" t="s">
        <v>304</v>
      </c>
      <c r="D180" s="471">
        <v>480</v>
      </c>
      <c r="E180" s="471">
        <v>0</v>
      </c>
      <c r="F180" s="471">
        <v>130</v>
      </c>
      <c r="G180" s="471">
        <v>0</v>
      </c>
      <c r="H180" s="471">
        <v>0</v>
      </c>
      <c r="I180" s="471">
        <v>0</v>
      </c>
      <c r="J180" s="471">
        <v>0</v>
      </c>
      <c r="K180" s="471">
        <v>0</v>
      </c>
      <c r="L180" s="471">
        <v>0</v>
      </c>
      <c r="M180" s="471">
        <v>0</v>
      </c>
      <c r="N180" s="471">
        <v>0</v>
      </c>
      <c r="O180" s="471">
        <v>0</v>
      </c>
      <c r="P180" s="471">
        <v>0</v>
      </c>
      <c r="Q180" s="471">
        <f t="shared" si="40"/>
        <v>2739</v>
      </c>
      <c r="R180" s="471">
        <f t="shared" si="41"/>
        <v>610</v>
      </c>
      <c r="S180" s="473">
        <f t="shared" si="42"/>
        <v>3349</v>
      </c>
      <c r="T180" s="1434"/>
      <c r="U180" s="756" t="s">
        <v>303</v>
      </c>
      <c r="V180" s="757" t="s">
        <v>304</v>
      </c>
      <c r="W180" s="471">
        <v>1518</v>
      </c>
      <c r="X180" s="471">
        <v>0</v>
      </c>
      <c r="Y180" s="471">
        <v>469</v>
      </c>
      <c r="Z180" s="471">
        <v>0</v>
      </c>
      <c r="AA180" s="471"/>
      <c r="AB180" s="471">
        <v>0</v>
      </c>
      <c r="AC180" s="471">
        <v>0</v>
      </c>
      <c r="AD180" s="471">
        <v>0</v>
      </c>
      <c r="AE180" s="471">
        <v>1362</v>
      </c>
      <c r="AF180" s="471">
        <v>0</v>
      </c>
      <c r="AG180" s="471"/>
      <c r="AH180" s="473">
        <f t="shared" si="43"/>
        <v>3349</v>
      </c>
      <c r="AJ180" s="484">
        <v>3349</v>
      </c>
    </row>
    <row r="181" spans="1:36" ht="12.75">
      <c r="A181" s="1417"/>
      <c r="B181" s="756" t="s">
        <v>303</v>
      </c>
      <c r="C181" s="757" t="s">
        <v>305</v>
      </c>
      <c r="D181" s="471">
        <v>480</v>
      </c>
      <c r="E181" s="471">
        <v>0</v>
      </c>
      <c r="F181" s="471">
        <v>130</v>
      </c>
      <c r="G181" s="471">
        <v>0</v>
      </c>
      <c r="H181" s="471">
        <v>0</v>
      </c>
      <c r="I181" s="471">
        <v>0</v>
      </c>
      <c r="J181" s="471">
        <v>0</v>
      </c>
      <c r="K181" s="471">
        <v>0</v>
      </c>
      <c r="L181" s="471">
        <v>0</v>
      </c>
      <c r="M181" s="471">
        <v>0</v>
      </c>
      <c r="N181" s="471">
        <v>0</v>
      </c>
      <c r="O181" s="471">
        <v>0</v>
      </c>
      <c r="P181" s="471">
        <v>0</v>
      </c>
      <c r="Q181" s="471">
        <f t="shared" si="40"/>
        <v>2739</v>
      </c>
      <c r="R181" s="471">
        <f t="shared" si="41"/>
        <v>610</v>
      </c>
      <c r="S181" s="473">
        <f t="shared" si="42"/>
        <v>3349</v>
      </c>
      <c r="T181" s="1434"/>
      <c r="U181" s="756" t="s">
        <v>303</v>
      </c>
      <c r="V181" s="757" t="s">
        <v>305</v>
      </c>
      <c r="W181" s="471">
        <v>1518</v>
      </c>
      <c r="X181" s="471">
        <v>0</v>
      </c>
      <c r="Y181" s="471">
        <v>469</v>
      </c>
      <c r="Z181" s="471">
        <v>0</v>
      </c>
      <c r="AA181" s="471"/>
      <c r="AB181" s="471">
        <v>0</v>
      </c>
      <c r="AC181" s="471">
        <v>0</v>
      </c>
      <c r="AD181" s="471">
        <v>0</v>
      </c>
      <c r="AE181" s="471">
        <v>1362</v>
      </c>
      <c r="AF181" s="471">
        <v>0</v>
      </c>
      <c r="AG181" s="471"/>
      <c r="AH181" s="473">
        <f t="shared" si="43"/>
        <v>3349</v>
      </c>
      <c r="AJ181" s="484">
        <v>3349</v>
      </c>
    </row>
    <row r="182" spans="1:36" ht="12.75">
      <c r="A182" s="1417"/>
      <c r="B182" s="756" t="s">
        <v>303</v>
      </c>
      <c r="C182" s="757" t="s">
        <v>306</v>
      </c>
      <c r="D182" s="471">
        <f>480-480</f>
        <v>0</v>
      </c>
      <c r="E182" s="471">
        <v>0</v>
      </c>
      <c r="F182" s="471">
        <f>130-130</f>
        <v>0</v>
      </c>
      <c r="G182" s="471">
        <v>0</v>
      </c>
      <c r="H182" s="471">
        <v>0</v>
      </c>
      <c r="I182" s="471">
        <v>0</v>
      </c>
      <c r="J182" s="471">
        <v>0</v>
      </c>
      <c r="K182" s="471">
        <v>0</v>
      </c>
      <c r="L182" s="471">
        <v>0</v>
      </c>
      <c r="M182" s="471">
        <v>0</v>
      </c>
      <c r="N182" s="471">
        <v>0</v>
      </c>
      <c r="O182" s="471">
        <v>0</v>
      </c>
      <c r="P182" s="471">
        <v>0</v>
      </c>
      <c r="Q182" s="471">
        <f>AH182-R182</f>
        <v>1586</v>
      </c>
      <c r="R182" s="471">
        <f t="shared" si="41"/>
        <v>0</v>
      </c>
      <c r="S182" s="473">
        <f t="shared" si="42"/>
        <v>1586</v>
      </c>
      <c r="T182" s="1434"/>
      <c r="U182" s="756" t="s">
        <v>303</v>
      </c>
      <c r="V182" s="757" t="s">
        <v>306</v>
      </c>
      <c r="W182" s="471">
        <f>1518-672</f>
        <v>846</v>
      </c>
      <c r="X182" s="471">
        <f>19-1</f>
        <v>18</v>
      </c>
      <c r="Y182" s="471">
        <f>469+603-350</f>
        <v>722</v>
      </c>
      <c r="Z182" s="471">
        <v>0</v>
      </c>
      <c r="AA182" s="471"/>
      <c r="AB182" s="471">
        <v>0</v>
      </c>
      <c r="AC182" s="471">
        <v>0</v>
      </c>
      <c r="AD182" s="471">
        <v>0</v>
      </c>
      <c r="AE182" s="471">
        <f>1362-1362</f>
        <v>0</v>
      </c>
      <c r="AF182" s="471">
        <v>0</v>
      </c>
      <c r="AG182" s="471"/>
      <c r="AH182" s="473">
        <f t="shared" si="43"/>
        <v>1586</v>
      </c>
      <c r="AJ182" s="484"/>
    </row>
    <row r="183" spans="1:36" ht="12.75">
      <c r="A183" s="1417"/>
      <c r="B183" s="756" t="s">
        <v>303</v>
      </c>
      <c r="C183" s="757" t="s">
        <v>321</v>
      </c>
      <c r="D183" s="471">
        <f>480-480</f>
        <v>0</v>
      </c>
      <c r="E183" s="471">
        <v>1</v>
      </c>
      <c r="F183" s="471">
        <f>130-130</f>
        <v>0</v>
      </c>
      <c r="G183" s="471">
        <v>0</v>
      </c>
      <c r="H183" s="471">
        <v>0</v>
      </c>
      <c r="I183" s="471">
        <v>0</v>
      </c>
      <c r="J183" s="471">
        <v>0</v>
      </c>
      <c r="K183" s="471">
        <v>0</v>
      </c>
      <c r="L183" s="471">
        <v>0</v>
      </c>
      <c r="M183" s="471"/>
      <c r="N183" s="471"/>
      <c r="O183" s="471">
        <v>0</v>
      </c>
      <c r="P183" s="471">
        <v>0</v>
      </c>
      <c r="Q183" s="471">
        <v>1586</v>
      </c>
      <c r="R183" s="471"/>
      <c r="S183" s="473">
        <v>1586</v>
      </c>
      <c r="T183" s="1435"/>
      <c r="U183" s="756" t="s">
        <v>303</v>
      </c>
      <c r="V183" s="757" t="s">
        <v>321</v>
      </c>
      <c r="W183" s="471">
        <f>1518-672</f>
        <v>846</v>
      </c>
      <c r="X183" s="471">
        <f>19-1</f>
        <v>18</v>
      </c>
      <c r="Y183" s="471">
        <f>469+603-350</f>
        <v>722</v>
      </c>
      <c r="Z183" s="471">
        <v>0</v>
      </c>
      <c r="AA183" s="471"/>
      <c r="AB183" s="471">
        <v>0</v>
      </c>
      <c r="AC183" s="471">
        <v>0</v>
      </c>
      <c r="AD183" s="471">
        <v>0</v>
      </c>
      <c r="AE183" s="471">
        <f>1362-1362</f>
        <v>0</v>
      </c>
      <c r="AF183" s="471">
        <v>0</v>
      </c>
      <c r="AG183" s="471"/>
      <c r="AH183" s="473">
        <f>SUM(W183:AF183)-Z183</f>
        <v>1586</v>
      </c>
      <c r="AJ183" s="484"/>
    </row>
    <row r="184" spans="1:36" ht="12.75">
      <c r="A184" s="1417" t="s">
        <v>331</v>
      </c>
      <c r="B184" s="756" t="s">
        <v>303</v>
      </c>
      <c r="C184" s="757" t="s">
        <v>873</v>
      </c>
      <c r="D184" s="471">
        <v>0</v>
      </c>
      <c r="E184" s="471">
        <v>0</v>
      </c>
      <c r="F184" s="471">
        <v>0</v>
      </c>
      <c r="G184" s="471">
        <v>0</v>
      </c>
      <c r="H184" s="471">
        <v>0</v>
      </c>
      <c r="I184" s="471">
        <v>0</v>
      </c>
      <c r="J184" s="471">
        <v>0</v>
      </c>
      <c r="K184" s="471">
        <v>0</v>
      </c>
      <c r="L184" s="471">
        <v>0</v>
      </c>
      <c r="M184" s="471">
        <v>0</v>
      </c>
      <c r="N184" s="471">
        <v>0</v>
      </c>
      <c r="O184" s="471">
        <v>0</v>
      </c>
      <c r="P184" s="471">
        <v>0</v>
      </c>
      <c r="Q184" s="471">
        <f t="shared" si="40"/>
        <v>18476</v>
      </c>
      <c r="R184" s="471">
        <f t="shared" si="41"/>
        <v>0</v>
      </c>
      <c r="S184" s="473">
        <f t="shared" si="42"/>
        <v>18476</v>
      </c>
      <c r="T184" s="1417" t="s">
        <v>331</v>
      </c>
      <c r="U184" s="756" t="s">
        <v>303</v>
      </c>
      <c r="V184" s="757" t="s">
        <v>873</v>
      </c>
      <c r="W184" s="471">
        <v>8565</v>
      </c>
      <c r="X184" s="471">
        <v>2207</v>
      </c>
      <c r="Y184" s="471">
        <v>7704</v>
      </c>
      <c r="Z184" s="471">
        <v>0</v>
      </c>
      <c r="AA184" s="471"/>
      <c r="AB184" s="471">
        <v>0</v>
      </c>
      <c r="AC184" s="471">
        <v>0</v>
      </c>
      <c r="AD184" s="471">
        <v>0</v>
      </c>
      <c r="AE184" s="471">
        <v>0</v>
      </c>
      <c r="AF184" s="471">
        <v>0</v>
      </c>
      <c r="AG184" s="471"/>
      <c r="AH184" s="473">
        <f t="shared" si="43"/>
        <v>18476</v>
      </c>
      <c r="AJ184" s="484">
        <v>18476</v>
      </c>
    </row>
    <row r="185" spans="1:36" ht="12.75">
      <c r="A185" s="1417"/>
      <c r="B185" s="756" t="s">
        <v>303</v>
      </c>
      <c r="C185" s="757" t="s">
        <v>304</v>
      </c>
      <c r="D185" s="471">
        <v>0</v>
      </c>
      <c r="E185" s="471">
        <v>0</v>
      </c>
      <c r="F185" s="471">
        <v>0</v>
      </c>
      <c r="G185" s="471">
        <v>0</v>
      </c>
      <c r="H185" s="471">
        <v>0</v>
      </c>
      <c r="I185" s="471">
        <v>0</v>
      </c>
      <c r="J185" s="471">
        <v>0</v>
      </c>
      <c r="K185" s="471">
        <v>0</v>
      </c>
      <c r="L185" s="471">
        <v>0</v>
      </c>
      <c r="M185" s="471">
        <v>0</v>
      </c>
      <c r="N185" s="471">
        <v>0</v>
      </c>
      <c r="O185" s="471">
        <v>0</v>
      </c>
      <c r="P185" s="471">
        <v>0</v>
      </c>
      <c r="Q185" s="471">
        <f t="shared" si="40"/>
        <v>18476</v>
      </c>
      <c r="R185" s="471">
        <f t="shared" si="41"/>
        <v>0</v>
      </c>
      <c r="S185" s="473">
        <f t="shared" si="42"/>
        <v>18476</v>
      </c>
      <c r="T185" s="1417"/>
      <c r="U185" s="756" t="s">
        <v>303</v>
      </c>
      <c r="V185" s="757" t="s">
        <v>304</v>
      </c>
      <c r="W185" s="471">
        <v>8565</v>
      </c>
      <c r="X185" s="471">
        <f>2207</f>
        <v>2207</v>
      </c>
      <c r="Y185" s="471">
        <v>7704</v>
      </c>
      <c r="Z185" s="471">
        <v>0</v>
      </c>
      <c r="AA185" s="471"/>
      <c r="AB185" s="471">
        <v>0</v>
      </c>
      <c r="AC185" s="471">
        <v>0</v>
      </c>
      <c r="AD185" s="471">
        <v>0</v>
      </c>
      <c r="AE185" s="471">
        <v>0</v>
      </c>
      <c r="AF185" s="471">
        <v>0</v>
      </c>
      <c r="AG185" s="471"/>
      <c r="AH185" s="473">
        <f t="shared" si="43"/>
        <v>18476</v>
      </c>
      <c r="AJ185" s="484">
        <v>18476</v>
      </c>
    </row>
    <row r="186" spans="1:36" ht="12.75">
      <c r="A186" s="1417"/>
      <c r="B186" s="756" t="s">
        <v>303</v>
      </c>
      <c r="C186" s="757" t="s">
        <v>305</v>
      </c>
      <c r="D186" s="471">
        <v>0</v>
      </c>
      <c r="E186" s="471">
        <v>0</v>
      </c>
      <c r="F186" s="471">
        <v>0</v>
      </c>
      <c r="G186" s="471">
        <v>0</v>
      </c>
      <c r="H186" s="471">
        <v>0</v>
      </c>
      <c r="I186" s="471">
        <v>0</v>
      </c>
      <c r="J186" s="471">
        <v>0</v>
      </c>
      <c r="K186" s="471">
        <v>0</v>
      </c>
      <c r="L186" s="471">
        <v>0</v>
      </c>
      <c r="M186" s="471">
        <v>0</v>
      </c>
      <c r="N186" s="471">
        <v>0</v>
      </c>
      <c r="O186" s="471">
        <v>0</v>
      </c>
      <c r="P186" s="471">
        <v>0</v>
      </c>
      <c r="Q186" s="471">
        <f t="shared" si="40"/>
        <v>18758</v>
      </c>
      <c r="R186" s="471">
        <f t="shared" si="41"/>
        <v>0</v>
      </c>
      <c r="S186" s="473">
        <f t="shared" si="42"/>
        <v>18758</v>
      </c>
      <c r="T186" s="1417"/>
      <c r="U186" s="756" t="s">
        <v>303</v>
      </c>
      <c r="V186" s="757" t="s">
        <v>305</v>
      </c>
      <c r="W186" s="471">
        <f>8565+143</f>
        <v>8708</v>
      </c>
      <c r="X186" s="471">
        <f>2207+39</f>
        <v>2246</v>
      </c>
      <c r="Y186" s="471">
        <f>7704+100</f>
        <v>7804</v>
      </c>
      <c r="Z186" s="471">
        <v>0</v>
      </c>
      <c r="AA186" s="471"/>
      <c r="AB186" s="471">
        <v>0</v>
      </c>
      <c r="AC186" s="471">
        <v>0</v>
      </c>
      <c r="AD186" s="471">
        <v>0</v>
      </c>
      <c r="AE186" s="471">
        <v>0</v>
      </c>
      <c r="AF186" s="471">
        <v>0</v>
      </c>
      <c r="AG186" s="471"/>
      <c r="AH186" s="473">
        <f t="shared" si="43"/>
        <v>18758</v>
      </c>
      <c r="AJ186" s="484">
        <v>18476</v>
      </c>
    </row>
    <row r="187" spans="1:36" ht="12.75">
      <c r="A187" s="1417"/>
      <c r="B187" s="756" t="s">
        <v>303</v>
      </c>
      <c r="C187" s="757" t="s">
        <v>306</v>
      </c>
      <c r="D187" s="471">
        <v>0</v>
      </c>
      <c r="E187" s="471">
        <v>0</v>
      </c>
      <c r="F187" s="471">
        <v>0</v>
      </c>
      <c r="G187" s="471">
        <v>0</v>
      </c>
      <c r="H187" s="471">
        <v>0</v>
      </c>
      <c r="I187" s="471">
        <v>0</v>
      </c>
      <c r="J187" s="471">
        <v>0</v>
      </c>
      <c r="K187" s="471">
        <v>0</v>
      </c>
      <c r="L187" s="471">
        <v>0</v>
      </c>
      <c r="M187" s="471">
        <v>0</v>
      </c>
      <c r="N187" s="471">
        <v>0</v>
      </c>
      <c r="O187" s="471">
        <v>0</v>
      </c>
      <c r="P187" s="471">
        <v>0</v>
      </c>
      <c r="Q187" s="471">
        <f t="shared" si="40"/>
        <v>8229</v>
      </c>
      <c r="R187" s="471">
        <f t="shared" si="41"/>
        <v>0</v>
      </c>
      <c r="S187" s="473">
        <f t="shared" si="42"/>
        <v>8229</v>
      </c>
      <c r="T187" s="1417"/>
      <c r="U187" s="756" t="s">
        <v>303</v>
      </c>
      <c r="V187" s="757" t="s">
        <v>306</v>
      </c>
      <c r="W187" s="471">
        <f>8565+143+143-3515</f>
        <v>5336</v>
      </c>
      <c r="X187" s="471">
        <f>2207+39+39-1159</f>
        <v>1126</v>
      </c>
      <c r="Y187" s="471">
        <f>7704+100-6037</f>
        <v>1767</v>
      </c>
      <c r="Z187" s="471">
        <v>0</v>
      </c>
      <c r="AA187" s="471"/>
      <c r="AB187" s="471">
        <v>0</v>
      </c>
      <c r="AC187" s="471">
        <v>0</v>
      </c>
      <c r="AD187" s="471">
        <v>0</v>
      </c>
      <c r="AE187" s="471">
        <v>0</v>
      </c>
      <c r="AF187" s="471">
        <v>0</v>
      </c>
      <c r="AG187" s="471"/>
      <c r="AH187" s="473">
        <f t="shared" si="43"/>
        <v>8229</v>
      </c>
      <c r="AJ187" s="484"/>
    </row>
    <row r="188" spans="1:36" ht="12.75">
      <c r="A188" s="1417"/>
      <c r="B188" s="756" t="s">
        <v>303</v>
      </c>
      <c r="C188" s="757" t="s">
        <v>321</v>
      </c>
      <c r="D188" s="471">
        <v>0</v>
      </c>
      <c r="E188" s="471">
        <v>0</v>
      </c>
      <c r="F188" s="471">
        <v>0</v>
      </c>
      <c r="G188" s="471">
        <v>0</v>
      </c>
      <c r="H188" s="471">
        <v>0</v>
      </c>
      <c r="I188" s="471">
        <v>0</v>
      </c>
      <c r="J188" s="471">
        <v>0</v>
      </c>
      <c r="K188" s="471">
        <v>0</v>
      </c>
      <c r="L188" s="471">
        <v>0</v>
      </c>
      <c r="M188" s="471">
        <v>0</v>
      </c>
      <c r="N188" s="471">
        <v>0</v>
      </c>
      <c r="O188" s="471">
        <v>0</v>
      </c>
      <c r="P188" s="471">
        <v>0</v>
      </c>
      <c r="Q188" s="471">
        <v>8229</v>
      </c>
      <c r="R188" s="471"/>
      <c r="S188" s="473">
        <v>8229</v>
      </c>
      <c r="T188" s="1433"/>
      <c r="U188" s="756" t="s">
        <v>303</v>
      </c>
      <c r="V188" s="757" t="s">
        <v>321</v>
      </c>
      <c r="W188" s="471">
        <f>8565+143+143-3515</f>
        <v>5336</v>
      </c>
      <c r="X188" s="471">
        <f>2207+39+39-1159</f>
        <v>1126</v>
      </c>
      <c r="Y188" s="471">
        <f>7704+100-6037</f>
        <v>1767</v>
      </c>
      <c r="Z188" s="471">
        <v>0</v>
      </c>
      <c r="AA188" s="471"/>
      <c r="AB188" s="471">
        <v>0</v>
      </c>
      <c r="AC188" s="471">
        <v>0</v>
      </c>
      <c r="AD188" s="471">
        <v>0</v>
      </c>
      <c r="AE188" s="471">
        <v>0</v>
      </c>
      <c r="AF188" s="471">
        <v>0</v>
      </c>
      <c r="AG188" s="471"/>
      <c r="AH188" s="473">
        <f>SUM(W188:AF188)-Z188</f>
        <v>8229</v>
      </c>
      <c r="AJ188" s="484"/>
    </row>
    <row r="189" spans="1:36" ht="12.75">
      <c r="A189" s="1417" t="s">
        <v>332</v>
      </c>
      <c r="B189" s="756" t="s">
        <v>303</v>
      </c>
      <c r="C189" s="757" t="s">
        <v>873</v>
      </c>
      <c r="D189" s="471">
        <v>0</v>
      </c>
      <c r="E189" s="471">
        <v>0</v>
      </c>
      <c r="F189" s="471">
        <v>0</v>
      </c>
      <c r="G189" s="471">
        <v>0</v>
      </c>
      <c r="H189" s="471">
        <v>0</v>
      </c>
      <c r="I189" s="471">
        <v>0</v>
      </c>
      <c r="J189" s="471">
        <v>0</v>
      </c>
      <c r="K189" s="471">
        <v>0</v>
      </c>
      <c r="L189" s="471">
        <v>0</v>
      </c>
      <c r="M189" s="471">
        <v>0</v>
      </c>
      <c r="N189" s="471">
        <v>0</v>
      </c>
      <c r="O189" s="471">
        <v>0</v>
      </c>
      <c r="P189" s="471">
        <v>0</v>
      </c>
      <c r="Q189" s="471">
        <f t="shared" si="40"/>
        <v>9605</v>
      </c>
      <c r="R189" s="471">
        <f t="shared" si="41"/>
        <v>0</v>
      </c>
      <c r="S189" s="473">
        <f t="shared" si="42"/>
        <v>9605</v>
      </c>
      <c r="T189" s="1417" t="s">
        <v>332</v>
      </c>
      <c r="U189" s="756" t="s">
        <v>303</v>
      </c>
      <c r="V189" s="757" t="s">
        <v>873</v>
      </c>
      <c r="W189" s="471">
        <v>4912</v>
      </c>
      <c r="X189" s="471">
        <v>1312</v>
      </c>
      <c r="Y189" s="471">
        <v>2030</v>
      </c>
      <c r="Z189" s="471">
        <v>0</v>
      </c>
      <c r="AA189" s="471"/>
      <c r="AB189" s="471">
        <v>0</v>
      </c>
      <c r="AC189" s="471">
        <v>0</v>
      </c>
      <c r="AD189" s="471">
        <v>0</v>
      </c>
      <c r="AE189" s="471">
        <v>1351</v>
      </c>
      <c r="AF189" s="471">
        <v>0</v>
      </c>
      <c r="AG189" s="471"/>
      <c r="AH189" s="473">
        <f t="shared" si="43"/>
        <v>9605</v>
      </c>
      <c r="AJ189" s="484">
        <v>9605</v>
      </c>
    </row>
    <row r="190" spans="1:36" ht="12.75">
      <c r="A190" s="1417"/>
      <c r="B190" s="756" t="s">
        <v>303</v>
      </c>
      <c r="C190" s="757" t="s">
        <v>304</v>
      </c>
      <c r="D190" s="471">
        <v>0</v>
      </c>
      <c r="E190" s="471">
        <v>0</v>
      </c>
      <c r="F190" s="471">
        <v>0</v>
      </c>
      <c r="G190" s="471">
        <v>0</v>
      </c>
      <c r="H190" s="471">
        <v>0</v>
      </c>
      <c r="I190" s="471">
        <v>0</v>
      </c>
      <c r="J190" s="471">
        <v>0</v>
      </c>
      <c r="K190" s="471">
        <v>0</v>
      </c>
      <c r="L190" s="471">
        <v>0</v>
      </c>
      <c r="M190" s="471">
        <v>0</v>
      </c>
      <c r="N190" s="471">
        <v>0</v>
      </c>
      <c r="O190" s="471">
        <v>0</v>
      </c>
      <c r="P190" s="471">
        <v>0</v>
      </c>
      <c r="Q190" s="471">
        <f t="shared" si="40"/>
        <v>9605</v>
      </c>
      <c r="R190" s="471">
        <f t="shared" si="41"/>
        <v>0</v>
      </c>
      <c r="S190" s="473">
        <f t="shared" si="42"/>
        <v>9605</v>
      </c>
      <c r="T190" s="1417"/>
      <c r="U190" s="756" t="s">
        <v>303</v>
      </c>
      <c r="V190" s="757" t="s">
        <v>304</v>
      </c>
      <c r="W190" s="471">
        <v>4912</v>
      </c>
      <c r="X190" s="471">
        <v>1312</v>
      </c>
      <c r="Y190" s="471">
        <v>2030</v>
      </c>
      <c r="Z190" s="471">
        <v>0</v>
      </c>
      <c r="AA190" s="471"/>
      <c r="AB190" s="471">
        <v>0</v>
      </c>
      <c r="AC190" s="471">
        <v>0</v>
      </c>
      <c r="AD190" s="471">
        <v>0</v>
      </c>
      <c r="AE190" s="471">
        <v>1351</v>
      </c>
      <c r="AF190" s="471">
        <v>0</v>
      </c>
      <c r="AG190" s="471"/>
      <c r="AH190" s="473">
        <f>SUM(W190:AF190)-Z190</f>
        <v>9605</v>
      </c>
      <c r="AJ190" s="484">
        <v>9605</v>
      </c>
    </row>
    <row r="191" spans="1:36" ht="12.75">
      <c r="A191" s="1417"/>
      <c r="B191" s="756" t="s">
        <v>303</v>
      </c>
      <c r="C191" s="757" t="s">
        <v>305</v>
      </c>
      <c r="D191" s="471">
        <v>0</v>
      </c>
      <c r="E191" s="471">
        <v>0</v>
      </c>
      <c r="F191" s="471">
        <v>0</v>
      </c>
      <c r="G191" s="471">
        <v>0</v>
      </c>
      <c r="H191" s="471">
        <v>0</v>
      </c>
      <c r="I191" s="471">
        <v>0</v>
      </c>
      <c r="J191" s="471">
        <v>0</v>
      </c>
      <c r="K191" s="471">
        <v>0</v>
      </c>
      <c r="L191" s="471">
        <v>0</v>
      </c>
      <c r="M191" s="471">
        <v>0</v>
      </c>
      <c r="N191" s="471">
        <v>0</v>
      </c>
      <c r="O191" s="471">
        <v>0</v>
      </c>
      <c r="P191" s="471">
        <v>0</v>
      </c>
      <c r="Q191" s="471">
        <f t="shared" si="40"/>
        <v>9853</v>
      </c>
      <c r="R191" s="471">
        <f t="shared" si="41"/>
        <v>0</v>
      </c>
      <c r="S191" s="473">
        <f t="shared" si="42"/>
        <v>9853</v>
      </c>
      <c r="T191" s="1417"/>
      <c r="U191" s="756" t="s">
        <v>303</v>
      </c>
      <c r="V191" s="757" t="s">
        <v>305</v>
      </c>
      <c r="W191" s="471">
        <f>4912+38</f>
        <v>4950</v>
      </c>
      <c r="X191" s="471">
        <f>1312+10</f>
        <v>1322</v>
      </c>
      <c r="Y191" s="471">
        <f>2030+200</f>
        <v>2230</v>
      </c>
      <c r="Z191" s="471">
        <v>0</v>
      </c>
      <c r="AA191" s="471"/>
      <c r="AB191" s="471">
        <v>0</v>
      </c>
      <c r="AC191" s="471">
        <v>0</v>
      </c>
      <c r="AD191" s="471">
        <v>0</v>
      </c>
      <c r="AE191" s="471">
        <v>1351</v>
      </c>
      <c r="AF191" s="471">
        <v>0</v>
      </c>
      <c r="AG191" s="471"/>
      <c r="AH191" s="473">
        <f t="shared" si="43"/>
        <v>9853</v>
      </c>
      <c r="AJ191" s="484">
        <v>9605</v>
      </c>
    </row>
    <row r="192" spans="1:36" ht="12.75">
      <c r="A192" s="1417"/>
      <c r="B192" s="756" t="s">
        <v>303</v>
      </c>
      <c r="C192" s="757" t="s">
        <v>306</v>
      </c>
      <c r="D192" s="471">
        <v>0</v>
      </c>
      <c r="E192" s="471">
        <v>0</v>
      </c>
      <c r="F192" s="471">
        <v>0</v>
      </c>
      <c r="G192" s="471">
        <v>0</v>
      </c>
      <c r="H192" s="471">
        <v>0</v>
      </c>
      <c r="I192" s="471">
        <v>0</v>
      </c>
      <c r="J192" s="471">
        <v>0</v>
      </c>
      <c r="K192" s="471">
        <v>0</v>
      </c>
      <c r="L192" s="471">
        <v>0</v>
      </c>
      <c r="M192" s="471">
        <v>0</v>
      </c>
      <c r="N192" s="471">
        <v>0</v>
      </c>
      <c r="O192" s="471">
        <v>0</v>
      </c>
      <c r="P192" s="471">
        <v>0</v>
      </c>
      <c r="Q192" s="471">
        <f t="shared" si="40"/>
        <v>5182</v>
      </c>
      <c r="R192" s="471">
        <f t="shared" si="41"/>
        <v>0</v>
      </c>
      <c r="S192" s="473">
        <f t="shared" si="42"/>
        <v>5182</v>
      </c>
      <c r="T192" s="1417"/>
      <c r="U192" s="756" t="s">
        <v>303</v>
      </c>
      <c r="V192" s="757" t="s">
        <v>306</v>
      </c>
      <c r="W192" s="471">
        <f>4912+38+36-1349</f>
        <v>3637</v>
      </c>
      <c r="X192" s="471">
        <f>1312+10+10-462</f>
        <v>870</v>
      </c>
      <c r="Y192" s="471">
        <f>2030+200-1555</f>
        <v>675</v>
      </c>
      <c r="Z192" s="471">
        <v>0</v>
      </c>
      <c r="AA192" s="471"/>
      <c r="AB192" s="471">
        <v>0</v>
      </c>
      <c r="AC192" s="471">
        <v>0</v>
      </c>
      <c r="AD192" s="471">
        <v>0</v>
      </c>
      <c r="AE192" s="471">
        <f>1351-1351</f>
        <v>0</v>
      </c>
      <c r="AF192" s="471">
        <v>0</v>
      </c>
      <c r="AG192" s="471"/>
      <c r="AH192" s="473">
        <f t="shared" si="43"/>
        <v>5182</v>
      </c>
      <c r="AJ192" s="484"/>
    </row>
    <row r="193" spans="1:36" ht="12.75">
      <c r="A193" s="1417"/>
      <c r="B193" s="756" t="s">
        <v>303</v>
      </c>
      <c r="C193" s="757" t="s">
        <v>321</v>
      </c>
      <c r="D193" s="471">
        <v>0</v>
      </c>
      <c r="E193" s="471">
        <v>0</v>
      </c>
      <c r="F193" s="471">
        <v>0</v>
      </c>
      <c r="G193" s="471">
        <v>0</v>
      </c>
      <c r="H193" s="471">
        <v>0</v>
      </c>
      <c r="I193" s="471">
        <v>0</v>
      </c>
      <c r="J193" s="471">
        <v>0</v>
      </c>
      <c r="K193" s="471">
        <v>0</v>
      </c>
      <c r="L193" s="471">
        <v>0</v>
      </c>
      <c r="M193" s="471">
        <v>0</v>
      </c>
      <c r="N193" s="471">
        <v>0</v>
      </c>
      <c r="O193" s="471">
        <v>0</v>
      </c>
      <c r="P193" s="471">
        <v>0</v>
      </c>
      <c r="Q193" s="471">
        <v>5182</v>
      </c>
      <c r="R193" s="471"/>
      <c r="S193" s="473">
        <v>5182</v>
      </c>
      <c r="T193" s="1433"/>
      <c r="U193" s="756" t="s">
        <v>303</v>
      </c>
      <c r="V193" s="757" t="s">
        <v>321</v>
      </c>
      <c r="W193" s="471">
        <f>4912+38+36-1349</f>
        <v>3637</v>
      </c>
      <c r="X193" s="471">
        <f>1312+10+10-462</f>
        <v>870</v>
      </c>
      <c r="Y193" s="471">
        <f>2030+200-1555</f>
        <v>675</v>
      </c>
      <c r="Z193" s="471">
        <v>0</v>
      </c>
      <c r="AA193" s="471"/>
      <c r="AB193" s="471">
        <v>0</v>
      </c>
      <c r="AC193" s="471">
        <v>0</v>
      </c>
      <c r="AD193" s="471">
        <v>0</v>
      </c>
      <c r="AE193" s="471">
        <f>1351-1351</f>
        <v>0</v>
      </c>
      <c r="AF193" s="471">
        <v>0</v>
      </c>
      <c r="AG193" s="471"/>
      <c r="AH193" s="473">
        <f>SUM(W193:AF193)-Z193</f>
        <v>5182</v>
      </c>
      <c r="AJ193" s="484"/>
    </row>
    <row r="194" spans="1:36" ht="12.75" customHeight="1">
      <c r="A194" s="1417" t="s">
        <v>333</v>
      </c>
      <c r="B194" s="756" t="s">
        <v>303</v>
      </c>
      <c r="C194" s="757" t="s">
        <v>873</v>
      </c>
      <c r="D194" s="471">
        <v>12198</v>
      </c>
      <c r="E194" s="471">
        <v>0</v>
      </c>
      <c r="F194" s="471">
        <v>2781</v>
      </c>
      <c r="G194" s="471">
        <v>0</v>
      </c>
      <c r="H194" s="471">
        <v>0</v>
      </c>
      <c r="I194" s="471">
        <v>0</v>
      </c>
      <c r="J194" s="471">
        <v>0</v>
      </c>
      <c r="K194" s="471">
        <v>0</v>
      </c>
      <c r="L194" s="471">
        <v>0</v>
      </c>
      <c r="M194" s="471">
        <v>0</v>
      </c>
      <c r="N194" s="471">
        <v>0</v>
      </c>
      <c r="O194" s="471">
        <v>0</v>
      </c>
      <c r="P194" s="471">
        <v>0</v>
      </c>
      <c r="Q194" s="471">
        <f t="shared" si="40"/>
        <v>124065</v>
      </c>
      <c r="R194" s="471">
        <f>SUM(D194:O194)-E194</f>
        <v>14979</v>
      </c>
      <c r="S194" s="473">
        <f t="shared" si="42"/>
        <v>139044</v>
      </c>
      <c r="T194" s="1417" t="s">
        <v>333</v>
      </c>
      <c r="U194" s="756" t="s">
        <v>303</v>
      </c>
      <c r="V194" s="757" t="s">
        <v>873</v>
      </c>
      <c r="W194" s="471">
        <f>87918</f>
        <v>87918</v>
      </c>
      <c r="X194" s="471">
        <f>22808</f>
        <v>22808</v>
      </c>
      <c r="Y194" s="471">
        <v>28318</v>
      </c>
      <c r="Z194" s="471">
        <v>10495</v>
      </c>
      <c r="AA194" s="471"/>
      <c r="AB194" s="471">
        <v>0</v>
      </c>
      <c r="AC194" s="471">
        <v>0</v>
      </c>
      <c r="AD194" s="471">
        <v>0</v>
      </c>
      <c r="AE194" s="471">
        <v>0</v>
      </c>
      <c r="AF194" s="471">
        <v>0</v>
      </c>
      <c r="AG194" s="471"/>
      <c r="AH194" s="473">
        <f t="shared" si="43"/>
        <v>139044</v>
      </c>
      <c r="AJ194" s="484">
        <v>139044</v>
      </c>
    </row>
    <row r="195" spans="1:36" ht="12.75">
      <c r="A195" s="1417"/>
      <c r="B195" s="756" t="s">
        <v>303</v>
      </c>
      <c r="C195" s="757" t="s">
        <v>304</v>
      </c>
      <c r="D195" s="471">
        <v>12198</v>
      </c>
      <c r="E195" s="471">
        <v>0</v>
      </c>
      <c r="F195" s="471">
        <v>2781</v>
      </c>
      <c r="G195" s="471">
        <v>0</v>
      </c>
      <c r="H195" s="471">
        <v>0</v>
      </c>
      <c r="I195" s="471">
        <v>0</v>
      </c>
      <c r="J195" s="471">
        <v>0</v>
      </c>
      <c r="K195" s="471">
        <v>0</v>
      </c>
      <c r="L195" s="471">
        <v>0</v>
      </c>
      <c r="M195" s="471">
        <v>0</v>
      </c>
      <c r="N195" s="471">
        <v>0</v>
      </c>
      <c r="O195" s="471">
        <v>0</v>
      </c>
      <c r="P195" s="471">
        <v>0</v>
      </c>
      <c r="Q195" s="471">
        <f t="shared" si="40"/>
        <v>124065</v>
      </c>
      <c r="R195" s="471">
        <f t="shared" si="41"/>
        <v>14979</v>
      </c>
      <c r="S195" s="473">
        <f t="shared" si="42"/>
        <v>139044</v>
      </c>
      <c r="T195" s="1417"/>
      <c r="U195" s="756" t="s">
        <v>303</v>
      </c>
      <c r="V195" s="757" t="s">
        <v>304</v>
      </c>
      <c r="W195" s="471">
        <v>87918</v>
      </c>
      <c r="X195" s="471">
        <f>22808</f>
        <v>22808</v>
      </c>
      <c r="Y195" s="471">
        <v>28318</v>
      </c>
      <c r="Z195" s="471">
        <v>10495</v>
      </c>
      <c r="AA195" s="471"/>
      <c r="AB195" s="471">
        <v>0</v>
      </c>
      <c r="AC195" s="471">
        <v>0</v>
      </c>
      <c r="AD195" s="471">
        <v>0</v>
      </c>
      <c r="AE195" s="471">
        <v>0</v>
      </c>
      <c r="AF195" s="471">
        <v>0</v>
      </c>
      <c r="AG195" s="471"/>
      <c r="AH195" s="473">
        <f t="shared" si="43"/>
        <v>139044</v>
      </c>
      <c r="AJ195" s="484">
        <v>139044</v>
      </c>
    </row>
    <row r="196" spans="1:36" ht="12.75">
      <c r="A196" s="1417"/>
      <c r="B196" s="756" t="s">
        <v>303</v>
      </c>
      <c r="C196" s="757" t="s">
        <v>305</v>
      </c>
      <c r="D196" s="471">
        <v>12198</v>
      </c>
      <c r="E196" s="471">
        <v>0</v>
      </c>
      <c r="F196" s="471">
        <v>2781</v>
      </c>
      <c r="G196" s="471">
        <v>0</v>
      </c>
      <c r="H196" s="471">
        <v>0</v>
      </c>
      <c r="I196" s="471">
        <v>0</v>
      </c>
      <c r="J196" s="471">
        <f>760+728+391+608</f>
        <v>2487</v>
      </c>
      <c r="K196" s="471">
        <v>0</v>
      </c>
      <c r="L196" s="471">
        <v>726</v>
      </c>
      <c r="M196" s="471">
        <v>0</v>
      </c>
      <c r="N196" s="471">
        <v>867</v>
      </c>
      <c r="O196" s="471">
        <v>0</v>
      </c>
      <c r="P196" s="471">
        <v>0</v>
      </c>
      <c r="Q196" s="471">
        <f t="shared" si="40"/>
        <v>126055</v>
      </c>
      <c r="R196" s="471">
        <f t="shared" si="41"/>
        <v>19059</v>
      </c>
      <c r="S196" s="473">
        <f t="shared" si="42"/>
        <v>145114</v>
      </c>
      <c r="T196" s="1417"/>
      <c r="U196" s="756" t="s">
        <v>303</v>
      </c>
      <c r="V196" s="757" t="s">
        <v>305</v>
      </c>
      <c r="W196" s="471">
        <f>87918+400+744+1512-143-38</f>
        <v>90393</v>
      </c>
      <c r="X196" s="471">
        <f>22808+108-2+408-39-10</f>
        <v>23273</v>
      </c>
      <c r="Y196" s="471">
        <f>28318+760+220+391+608+300-338+851+338</f>
        <v>31448</v>
      </c>
      <c r="Z196" s="471">
        <v>10495</v>
      </c>
      <c r="AA196" s="471"/>
      <c r="AB196" s="471">
        <v>0</v>
      </c>
      <c r="AC196" s="471">
        <v>0</v>
      </c>
      <c r="AD196" s="471">
        <v>0</v>
      </c>
      <c r="AE196" s="471">
        <v>0</v>
      </c>
      <c r="AF196" s="471">
        <v>0</v>
      </c>
      <c r="AG196" s="471"/>
      <c r="AH196" s="473">
        <f t="shared" si="43"/>
        <v>145114</v>
      </c>
      <c r="AJ196" s="484">
        <v>139044</v>
      </c>
    </row>
    <row r="197" spans="1:36" ht="12.75">
      <c r="A197" s="1417"/>
      <c r="B197" s="756" t="s">
        <v>303</v>
      </c>
      <c r="C197" s="757" t="s">
        <v>306</v>
      </c>
      <c r="D197" s="471">
        <f>12198-6971</f>
        <v>5227</v>
      </c>
      <c r="E197" s="471">
        <v>0</v>
      </c>
      <c r="F197" s="471">
        <f>2781-1668</f>
        <v>1113</v>
      </c>
      <c r="G197" s="471">
        <v>0</v>
      </c>
      <c r="H197" s="471">
        <v>0</v>
      </c>
      <c r="I197" s="471">
        <v>0</v>
      </c>
      <c r="J197" s="471">
        <f>760+728+391+608+194</f>
        <v>2681</v>
      </c>
      <c r="K197" s="471">
        <v>0</v>
      </c>
      <c r="L197" s="471">
        <v>726</v>
      </c>
      <c r="M197" s="471">
        <v>0</v>
      </c>
      <c r="N197" s="471">
        <v>867</v>
      </c>
      <c r="O197" s="471">
        <v>0</v>
      </c>
      <c r="P197" s="471">
        <v>0</v>
      </c>
      <c r="Q197" s="471">
        <f>AH197-R197</f>
        <v>61872</v>
      </c>
      <c r="R197" s="471">
        <f t="shared" si="41"/>
        <v>10614</v>
      </c>
      <c r="S197" s="473">
        <f t="shared" si="42"/>
        <v>72486</v>
      </c>
      <c r="T197" s="1417"/>
      <c r="U197" s="756" t="s">
        <v>303</v>
      </c>
      <c r="V197" s="757" t="s">
        <v>306</v>
      </c>
      <c r="W197" s="471">
        <f>87918+400+744+1512-143-38+1251+153-44446</f>
        <v>47351</v>
      </c>
      <c r="X197" s="471">
        <f>22808+108-2+408-39-10+337+41-19-11711</f>
        <v>11921</v>
      </c>
      <c r="Y197" s="471">
        <f>28318+760+220+391+608+300-338+851+338-603-450-17631</f>
        <v>12764</v>
      </c>
      <c r="Z197" s="471">
        <v>10495</v>
      </c>
      <c r="AA197" s="471"/>
      <c r="AB197" s="471">
        <v>0</v>
      </c>
      <c r="AC197" s="471">
        <v>450</v>
      </c>
      <c r="AD197" s="471">
        <v>0</v>
      </c>
      <c r="AE197" s="471">
        <v>0</v>
      </c>
      <c r="AF197" s="471">
        <v>0</v>
      </c>
      <c r="AG197" s="471"/>
      <c r="AH197" s="473">
        <f>SUM(W197:AF197)-Z197</f>
        <v>72486</v>
      </c>
      <c r="AJ197" s="484"/>
    </row>
    <row r="198" spans="1:36" ht="12.75">
      <c r="A198" s="1417"/>
      <c r="B198" s="756" t="s">
        <v>303</v>
      </c>
      <c r="C198" s="757" t="s">
        <v>321</v>
      </c>
      <c r="D198" s="471">
        <v>5227</v>
      </c>
      <c r="E198" s="471">
        <v>0</v>
      </c>
      <c r="F198" s="471">
        <v>1113</v>
      </c>
      <c r="G198" s="471"/>
      <c r="H198" s="471">
        <v>0</v>
      </c>
      <c r="I198" s="471">
        <v>0</v>
      </c>
      <c r="J198" s="471">
        <v>2681</v>
      </c>
      <c r="K198" s="471">
        <v>0</v>
      </c>
      <c r="L198" s="471">
        <v>726</v>
      </c>
      <c r="M198" s="471">
        <v>0</v>
      </c>
      <c r="N198" s="471">
        <v>867</v>
      </c>
      <c r="O198" s="471">
        <v>0</v>
      </c>
      <c r="P198" s="471">
        <v>0</v>
      </c>
      <c r="Q198" s="471">
        <v>61872</v>
      </c>
      <c r="R198" s="471">
        <v>10614</v>
      </c>
      <c r="S198" s="473">
        <v>72486</v>
      </c>
      <c r="T198" s="1433"/>
      <c r="U198" s="756" t="s">
        <v>303</v>
      </c>
      <c r="V198" s="757" t="s">
        <v>321</v>
      </c>
      <c r="W198" s="471">
        <f>87918+400+744+1512-143-38+1251+153-44446</f>
        <v>47351</v>
      </c>
      <c r="X198" s="471">
        <f>22808+108-2+408-39-10+337+41-19-11711</f>
        <v>11921</v>
      </c>
      <c r="Y198" s="471">
        <f>28318+760+220+391+608+300-338+851+338-603-450-17631</f>
        <v>12764</v>
      </c>
      <c r="Z198" s="471">
        <v>10495</v>
      </c>
      <c r="AA198" s="471"/>
      <c r="AB198" s="471">
        <v>0</v>
      </c>
      <c r="AC198" s="471">
        <v>450</v>
      </c>
      <c r="AD198" s="471">
        <v>-815</v>
      </c>
      <c r="AE198" s="471">
        <v>0</v>
      </c>
      <c r="AF198" s="471">
        <v>0</v>
      </c>
      <c r="AG198" s="471"/>
      <c r="AH198" s="473">
        <f>SUM(W198:AF198)-Z198</f>
        <v>71671</v>
      </c>
      <c r="AJ198" s="484"/>
    </row>
    <row r="199" spans="1:36" s="1275" customFormat="1" ht="12.75" customHeight="1">
      <c r="A199" s="1431" t="s">
        <v>197</v>
      </c>
      <c r="B199" s="475" t="s">
        <v>303</v>
      </c>
      <c r="C199" s="476" t="s">
        <v>873</v>
      </c>
      <c r="D199" s="474">
        <f aca="true" t="shared" si="44" ref="D199:S203">D179+D184+D189+D194</f>
        <v>12678</v>
      </c>
      <c r="E199" s="474">
        <f t="shared" si="44"/>
        <v>0</v>
      </c>
      <c r="F199" s="474">
        <f t="shared" si="44"/>
        <v>2911</v>
      </c>
      <c r="G199" s="474">
        <f t="shared" si="44"/>
        <v>0</v>
      </c>
      <c r="H199" s="474">
        <f t="shared" si="44"/>
        <v>0</v>
      </c>
      <c r="I199" s="474">
        <f t="shared" si="44"/>
        <v>0</v>
      </c>
      <c r="J199" s="474">
        <f t="shared" si="44"/>
        <v>0</v>
      </c>
      <c r="K199" s="474">
        <f t="shared" si="44"/>
        <v>0</v>
      </c>
      <c r="L199" s="474">
        <f t="shared" si="44"/>
        <v>0</v>
      </c>
      <c r="M199" s="474">
        <f t="shared" si="44"/>
        <v>0</v>
      </c>
      <c r="N199" s="474">
        <f t="shared" si="44"/>
        <v>0</v>
      </c>
      <c r="O199" s="471">
        <v>0</v>
      </c>
      <c r="P199" s="471">
        <v>0</v>
      </c>
      <c r="Q199" s="474">
        <f aca="true" t="shared" si="45" ref="Q199:S202">Q179+Q184+Q189+Q194</f>
        <v>154885</v>
      </c>
      <c r="R199" s="474">
        <f t="shared" si="45"/>
        <v>15589</v>
      </c>
      <c r="S199" s="478">
        <f t="shared" si="45"/>
        <v>170474</v>
      </c>
      <c r="T199" s="1431" t="s">
        <v>197</v>
      </c>
      <c r="U199" s="475" t="s">
        <v>303</v>
      </c>
      <c r="V199" s="476" t="s">
        <v>873</v>
      </c>
      <c r="W199" s="474">
        <f aca="true" t="shared" si="46" ref="W199:AG203">W179+W184+W189+W194</f>
        <v>102913</v>
      </c>
      <c r="X199" s="474">
        <f t="shared" si="46"/>
        <v>26327</v>
      </c>
      <c r="Y199" s="474">
        <f t="shared" si="46"/>
        <v>38521</v>
      </c>
      <c r="Z199" s="474">
        <f t="shared" si="46"/>
        <v>10495</v>
      </c>
      <c r="AA199" s="474">
        <f t="shared" si="46"/>
        <v>0</v>
      </c>
      <c r="AB199" s="474">
        <f t="shared" si="46"/>
        <v>0</v>
      </c>
      <c r="AC199" s="474">
        <f t="shared" si="46"/>
        <v>0</v>
      </c>
      <c r="AD199" s="474">
        <f t="shared" si="46"/>
        <v>0</v>
      </c>
      <c r="AE199" s="474">
        <f t="shared" si="46"/>
        <v>2713</v>
      </c>
      <c r="AF199" s="474">
        <f t="shared" si="46"/>
        <v>0</v>
      </c>
      <c r="AG199" s="474"/>
      <c r="AH199" s="478">
        <f aca="true" t="shared" si="47" ref="AH199:AJ200">AH179+AH184+AH189+AH194</f>
        <v>170474</v>
      </c>
      <c r="AI199" s="481">
        <f t="shared" si="47"/>
        <v>0</v>
      </c>
      <c r="AJ199" s="474">
        <f t="shared" si="47"/>
        <v>170474</v>
      </c>
    </row>
    <row r="200" spans="1:36" s="1275" customFormat="1" ht="12.75">
      <c r="A200" s="1431"/>
      <c r="B200" s="475" t="s">
        <v>303</v>
      </c>
      <c r="C200" s="476" t="s">
        <v>304</v>
      </c>
      <c r="D200" s="474">
        <f t="shared" si="44"/>
        <v>12678</v>
      </c>
      <c r="E200" s="474">
        <f t="shared" si="44"/>
        <v>0</v>
      </c>
      <c r="F200" s="474">
        <f t="shared" si="44"/>
        <v>2911</v>
      </c>
      <c r="G200" s="474">
        <f t="shared" si="44"/>
        <v>0</v>
      </c>
      <c r="H200" s="474">
        <f t="shared" si="44"/>
        <v>0</v>
      </c>
      <c r="I200" s="474">
        <f t="shared" si="44"/>
        <v>0</v>
      </c>
      <c r="J200" s="474">
        <f t="shared" si="44"/>
        <v>0</v>
      </c>
      <c r="K200" s="474">
        <f t="shared" si="44"/>
        <v>0</v>
      </c>
      <c r="L200" s="474">
        <f t="shared" si="44"/>
        <v>0</v>
      </c>
      <c r="M200" s="474">
        <f t="shared" si="44"/>
        <v>0</v>
      </c>
      <c r="N200" s="474">
        <f t="shared" si="44"/>
        <v>0</v>
      </c>
      <c r="O200" s="471">
        <v>0</v>
      </c>
      <c r="P200" s="471">
        <v>0</v>
      </c>
      <c r="Q200" s="474">
        <f t="shared" si="45"/>
        <v>154885</v>
      </c>
      <c r="R200" s="474">
        <f t="shared" si="45"/>
        <v>15589</v>
      </c>
      <c r="S200" s="478">
        <f t="shared" si="45"/>
        <v>170474</v>
      </c>
      <c r="T200" s="1431"/>
      <c r="U200" s="475" t="s">
        <v>303</v>
      </c>
      <c r="V200" s="476" t="s">
        <v>304</v>
      </c>
      <c r="W200" s="474">
        <f t="shared" si="46"/>
        <v>102913</v>
      </c>
      <c r="X200" s="474">
        <f t="shared" si="46"/>
        <v>26327</v>
      </c>
      <c r="Y200" s="474">
        <f t="shared" si="46"/>
        <v>38521</v>
      </c>
      <c r="Z200" s="474">
        <f t="shared" si="46"/>
        <v>10495</v>
      </c>
      <c r="AA200" s="474">
        <f t="shared" si="46"/>
        <v>0</v>
      </c>
      <c r="AB200" s="474">
        <f t="shared" si="46"/>
        <v>0</v>
      </c>
      <c r="AC200" s="474">
        <f t="shared" si="46"/>
        <v>0</v>
      </c>
      <c r="AD200" s="474">
        <f t="shared" si="46"/>
        <v>0</v>
      </c>
      <c r="AE200" s="474">
        <f t="shared" si="46"/>
        <v>2713</v>
      </c>
      <c r="AF200" s="474">
        <f t="shared" si="46"/>
        <v>0</v>
      </c>
      <c r="AG200" s="474"/>
      <c r="AH200" s="478">
        <f t="shared" si="47"/>
        <v>170474</v>
      </c>
      <c r="AI200" s="481">
        <f t="shared" si="47"/>
        <v>0</v>
      </c>
      <c r="AJ200" s="474">
        <f t="shared" si="47"/>
        <v>170474</v>
      </c>
    </row>
    <row r="201" spans="1:36" s="1275" customFormat="1" ht="12.75">
      <c r="A201" s="1431"/>
      <c r="B201" s="475" t="s">
        <v>303</v>
      </c>
      <c r="C201" s="476" t="s">
        <v>305</v>
      </c>
      <c r="D201" s="474">
        <f t="shared" si="44"/>
        <v>12678</v>
      </c>
      <c r="E201" s="474">
        <f t="shared" si="44"/>
        <v>0</v>
      </c>
      <c r="F201" s="474">
        <f t="shared" si="44"/>
        <v>2911</v>
      </c>
      <c r="G201" s="474">
        <f t="shared" si="44"/>
        <v>0</v>
      </c>
      <c r="H201" s="474">
        <f t="shared" si="44"/>
        <v>0</v>
      </c>
      <c r="I201" s="474">
        <f t="shared" si="44"/>
        <v>0</v>
      </c>
      <c r="J201" s="474">
        <f t="shared" si="44"/>
        <v>2487</v>
      </c>
      <c r="K201" s="474">
        <f t="shared" si="44"/>
        <v>0</v>
      </c>
      <c r="L201" s="474">
        <f t="shared" si="44"/>
        <v>726</v>
      </c>
      <c r="M201" s="474">
        <f t="shared" si="44"/>
        <v>0</v>
      </c>
      <c r="N201" s="474">
        <f t="shared" si="44"/>
        <v>867</v>
      </c>
      <c r="O201" s="471">
        <v>0</v>
      </c>
      <c r="P201" s="471">
        <v>0</v>
      </c>
      <c r="Q201" s="474">
        <f t="shared" si="45"/>
        <v>157405</v>
      </c>
      <c r="R201" s="474">
        <f t="shared" si="45"/>
        <v>19669</v>
      </c>
      <c r="S201" s="478">
        <f t="shared" si="45"/>
        <v>177074</v>
      </c>
      <c r="T201" s="1431"/>
      <c r="U201" s="475" t="s">
        <v>303</v>
      </c>
      <c r="V201" s="476" t="s">
        <v>305</v>
      </c>
      <c r="W201" s="474">
        <f t="shared" si="46"/>
        <v>105569</v>
      </c>
      <c r="X201" s="474">
        <f t="shared" si="46"/>
        <v>26841</v>
      </c>
      <c r="Y201" s="474">
        <f t="shared" si="46"/>
        <v>41951</v>
      </c>
      <c r="Z201" s="474">
        <f t="shared" si="46"/>
        <v>10495</v>
      </c>
      <c r="AA201" s="474">
        <f t="shared" si="46"/>
        <v>0</v>
      </c>
      <c r="AB201" s="474">
        <f t="shared" si="46"/>
        <v>0</v>
      </c>
      <c r="AC201" s="474">
        <f t="shared" si="46"/>
        <v>0</v>
      </c>
      <c r="AD201" s="474">
        <f t="shared" si="46"/>
        <v>0</v>
      </c>
      <c r="AE201" s="474">
        <f t="shared" si="46"/>
        <v>2713</v>
      </c>
      <c r="AF201" s="474">
        <f t="shared" si="46"/>
        <v>0</v>
      </c>
      <c r="AG201" s="474"/>
      <c r="AH201" s="478">
        <f>AH181+AH186+AH191+AH196</f>
        <v>177074</v>
      </c>
      <c r="AJ201" s="1276">
        <v>170474</v>
      </c>
    </row>
    <row r="202" spans="1:36" s="1275" customFormat="1" ht="12.75">
      <c r="A202" s="1431"/>
      <c r="B202" s="475" t="s">
        <v>303</v>
      </c>
      <c r="C202" s="476" t="s">
        <v>306</v>
      </c>
      <c r="D202" s="474">
        <f t="shared" si="44"/>
        <v>5227</v>
      </c>
      <c r="E202" s="474">
        <f t="shared" si="44"/>
        <v>0</v>
      </c>
      <c r="F202" s="474">
        <f t="shared" si="44"/>
        <v>1113</v>
      </c>
      <c r="G202" s="474">
        <f t="shared" si="44"/>
        <v>0</v>
      </c>
      <c r="H202" s="474">
        <f t="shared" si="44"/>
        <v>0</v>
      </c>
      <c r="I202" s="474">
        <f t="shared" si="44"/>
        <v>0</v>
      </c>
      <c r="J202" s="474">
        <f t="shared" si="44"/>
        <v>2681</v>
      </c>
      <c r="K202" s="474">
        <f t="shared" si="44"/>
        <v>0</v>
      </c>
      <c r="L202" s="474">
        <f t="shared" si="44"/>
        <v>726</v>
      </c>
      <c r="M202" s="474">
        <f t="shared" si="44"/>
        <v>0</v>
      </c>
      <c r="N202" s="474">
        <f t="shared" si="44"/>
        <v>867</v>
      </c>
      <c r="O202" s="471">
        <v>0</v>
      </c>
      <c r="P202" s="471">
        <v>0</v>
      </c>
      <c r="Q202" s="474">
        <f t="shared" si="45"/>
        <v>76869</v>
      </c>
      <c r="R202" s="474">
        <f t="shared" si="45"/>
        <v>10614</v>
      </c>
      <c r="S202" s="478">
        <f t="shared" si="45"/>
        <v>87483</v>
      </c>
      <c r="T202" s="1431"/>
      <c r="U202" s="475" t="s">
        <v>303</v>
      </c>
      <c r="V202" s="476" t="s">
        <v>306</v>
      </c>
      <c r="W202" s="474">
        <f t="shared" si="46"/>
        <v>57170</v>
      </c>
      <c r="X202" s="474">
        <f t="shared" si="46"/>
        <v>13935</v>
      </c>
      <c r="Y202" s="474">
        <f t="shared" si="46"/>
        <v>15928</v>
      </c>
      <c r="Z202" s="474">
        <f t="shared" si="46"/>
        <v>10495</v>
      </c>
      <c r="AA202" s="474">
        <f t="shared" si="46"/>
        <v>0</v>
      </c>
      <c r="AB202" s="474">
        <f t="shared" si="46"/>
        <v>0</v>
      </c>
      <c r="AC202" s="474">
        <f t="shared" si="46"/>
        <v>450</v>
      </c>
      <c r="AD202" s="474"/>
      <c r="AE202" s="474">
        <f t="shared" si="46"/>
        <v>0</v>
      </c>
      <c r="AF202" s="474">
        <f t="shared" si="46"/>
        <v>0</v>
      </c>
      <c r="AG202" s="474">
        <f t="shared" si="46"/>
        <v>0</v>
      </c>
      <c r="AH202" s="478">
        <f>AH182+AH187+AH192+AH197</f>
        <v>87483</v>
      </c>
      <c r="AJ202" s="1276"/>
    </row>
    <row r="203" spans="1:36" s="1275" customFormat="1" ht="12.75">
      <c r="A203" s="1431"/>
      <c r="B203" s="475" t="s">
        <v>303</v>
      </c>
      <c r="C203" s="476" t="s">
        <v>321</v>
      </c>
      <c r="D203" s="474">
        <f>D183+D188+D193+D198</f>
        <v>5227</v>
      </c>
      <c r="E203" s="474">
        <f t="shared" si="44"/>
        <v>1</v>
      </c>
      <c r="F203" s="474">
        <f t="shared" si="44"/>
        <v>1113</v>
      </c>
      <c r="G203" s="474">
        <f t="shared" si="44"/>
        <v>0</v>
      </c>
      <c r="H203" s="474">
        <f t="shared" si="44"/>
        <v>0</v>
      </c>
      <c r="I203" s="474">
        <f t="shared" si="44"/>
        <v>0</v>
      </c>
      <c r="J203" s="474">
        <f t="shared" si="44"/>
        <v>2681</v>
      </c>
      <c r="K203" s="474">
        <f t="shared" si="44"/>
        <v>0</v>
      </c>
      <c r="L203" s="474">
        <f t="shared" si="44"/>
        <v>726</v>
      </c>
      <c r="M203" s="474">
        <f t="shared" si="44"/>
        <v>0</v>
      </c>
      <c r="N203" s="474">
        <f t="shared" si="44"/>
        <v>867</v>
      </c>
      <c r="O203" s="471">
        <v>0</v>
      </c>
      <c r="P203" s="471">
        <v>0</v>
      </c>
      <c r="Q203" s="474">
        <f t="shared" si="44"/>
        <v>76869</v>
      </c>
      <c r="R203" s="474">
        <f t="shared" si="44"/>
        <v>10614</v>
      </c>
      <c r="S203" s="478">
        <f t="shared" si="44"/>
        <v>87483</v>
      </c>
      <c r="T203" s="1431"/>
      <c r="U203" s="475" t="s">
        <v>303</v>
      </c>
      <c r="V203" s="476" t="s">
        <v>321</v>
      </c>
      <c r="W203" s="474">
        <f t="shared" si="46"/>
        <v>57170</v>
      </c>
      <c r="X203" s="474">
        <f t="shared" si="46"/>
        <v>13935</v>
      </c>
      <c r="Y203" s="474">
        <f t="shared" si="46"/>
        <v>15928</v>
      </c>
      <c r="Z203" s="474">
        <f t="shared" si="46"/>
        <v>10495</v>
      </c>
      <c r="AA203" s="474">
        <f t="shared" si="46"/>
        <v>0</v>
      </c>
      <c r="AB203" s="474">
        <f t="shared" si="46"/>
        <v>0</v>
      </c>
      <c r="AC203" s="474">
        <f t="shared" si="46"/>
        <v>450</v>
      </c>
      <c r="AD203" s="474">
        <f>AD183+AD188+AD193+AD198</f>
        <v>-815</v>
      </c>
      <c r="AE203" s="474">
        <f t="shared" si="46"/>
        <v>0</v>
      </c>
      <c r="AF203" s="474">
        <f t="shared" si="46"/>
        <v>0</v>
      </c>
      <c r="AG203" s="474">
        <f t="shared" si="46"/>
        <v>0</v>
      </c>
      <c r="AH203" s="478">
        <f>AH183+AH188+AH193+AH198</f>
        <v>86668</v>
      </c>
      <c r="AJ203" s="1276"/>
    </row>
    <row r="204" spans="1:36" s="1275" customFormat="1" ht="12.75">
      <c r="A204" s="1431" t="s">
        <v>334</v>
      </c>
      <c r="B204" s="475" t="s">
        <v>303</v>
      </c>
      <c r="C204" s="476" t="s">
        <v>307</v>
      </c>
      <c r="D204" s="474">
        <v>0</v>
      </c>
      <c r="E204" s="474">
        <v>0</v>
      </c>
      <c r="F204" s="474">
        <v>0</v>
      </c>
      <c r="G204" s="474">
        <v>0</v>
      </c>
      <c r="H204" s="474">
        <v>0</v>
      </c>
      <c r="I204" s="474">
        <v>0</v>
      </c>
      <c r="J204" s="474">
        <v>0</v>
      </c>
      <c r="K204" s="474">
        <v>0</v>
      </c>
      <c r="L204" s="474">
        <v>0</v>
      </c>
      <c r="M204" s="474">
        <v>23363</v>
      </c>
      <c r="N204" s="474">
        <v>0</v>
      </c>
      <c r="O204" s="471">
        <v>0</v>
      </c>
      <c r="P204" s="471">
        <v>0</v>
      </c>
      <c r="Q204" s="474">
        <f>AH204-R204</f>
        <v>3336</v>
      </c>
      <c r="R204" s="474">
        <f>SUM(D204:O204)-E204</f>
        <v>23363</v>
      </c>
      <c r="S204" s="478">
        <f>Q204+R204</f>
        <v>26699</v>
      </c>
      <c r="T204" s="1431" t="s">
        <v>334</v>
      </c>
      <c r="U204" s="475" t="s">
        <v>303</v>
      </c>
      <c r="V204" s="476" t="s">
        <v>307</v>
      </c>
      <c r="W204" s="474">
        <f>11719+113</f>
        <v>11832</v>
      </c>
      <c r="X204" s="474">
        <f>3164+31</f>
        <v>3195</v>
      </c>
      <c r="Y204" s="474">
        <f>9072+1600</f>
        <v>10672</v>
      </c>
      <c r="Z204" s="474">
        <v>0</v>
      </c>
      <c r="AA204" s="474">
        <v>0</v>
      </c>
      <c r="AB204" s="474">
        <v>0</v>
      </c>
      <c r="AC204" s="474">
        <v>0</v>
      </c>
      <c r="AD204" s="474">
        <v>0</v>
      </c>
      <c r="AE204" s="474">
        <v>1000</v>
      </c>
      <c r="AF204" s="474">
        <f>AF184+AF189+AF194+AF199</f>
        <v>0</v>
      </c>
      <c r="AG204" s="474"/>
      <c r="AH204" s="478">
        <f>SUM(W204:AF204)</f>
        <v>26699</v>
      </c>
      <c r="AJ204" s="1276"/>
    </row>
    <row r="205" spans="1:36" s="1275" customFormat="1" ht="12.75">
      <c r="A205" s="1431"/>
      <c r="B205" s="475" t="s">
        <v>303</v>
      </c>
      <c r="C205" s="476" t="s">
        <v>308</v>
      </c>
      <c r="D205" s="474">
        <v>0</v>
      </c>
      <c r="E205" s="474">
        <v>0</v>
      </c>
      <c r="F205" s="474">
        <v>0</v>
      </c>
      <c r="G205" s="474">
        <v>0</v>
      </c>
      <c r="H205" s="474">
        <v>0</v>
      </c>
      <c r="I205" s="474">
        <v>0</v>
      </c>
      <c r="J205" s="474">
        <v>0</v>
      </c>
      <c r="K205" s="474">
        <v>0</v>
      </c>
      <c r="L205" s="474">
        <v>0</v>
      </c>
      <c r="M205" s="474">
        <f>23363+2630</f>
        <v>25993</v>
      </c>
      <c r="N205" s="474">
        <v>0</v>
      </c>
      <c r="O205" s="471">
        <v>0</v>
      </c>
      <c r="P205" s="471">
        <v>0</v>
      </c>
      <c r="Q205" s="474">
        <f>AH205-R205</f>
        <v>3427</v>
      </c>
      <c r="R205" s="474">
        <f>SUM(D205:O205)-E205</f>
        <v>25993</v>
      </c>
      <c r="S205" s="478">
        <f>Q205+R205</f>
        <v>29420</v>
      </c>
      <c r="T205" s="1431"/>
      <c r="U205" s="475" t="s">
        <v>303</v>
      </c>
      <c r="V205" s="476" t="s">
        <v>308</v>
      </c>
      <c r="W205" s="474">
        <f>11719+113+72</f>
        <v>11904</v>
      </c>
      <c r="X205" s="474">
        <f>3164+31+19</f>
        <v>3214</v>
      </c>
      <c r="Y205" s="474">
        <f>9072+1600+2630</f>
        <v>13302</v>
      </c>
      <c r="Z205" s="474">
        <v>0</v>
      </c>
      <c r="AA205" s="474">
        <v>0</v>
      </c>
      <c r="AB205" s="474">
        <v>0</v>
      </c>
      <c r="AC205" s="474">
        <v>0</v>
      </c>
      <c r="AD205" s="474">
        <v>0</v>
      </c>
      <c r="AE205" s="474">
        <v>1000</v>
      </c>
      <c r="AF205" s="474">
        <f>AF185+AF190+AF195+AF200</f>
        <v>0</v>
      </c>
      <c r="AG205" s="474"/>
      <c r="AH205" s="478">
        <f>SUM(W205:AF205)</f>
        <v>29420</v>
      </c>
      <c r="AJ205" s="1276"/>
    </row>
    <row r="206" spans="1:36" s="1275" customFormat="1" ht="12.75">
      <c r="A206" s="1431"/>
      <c r="B206" s="475" t="s">
        <v>303</v>
      </c>
      <c r="C206" s="476" t="s">
        <v>527</v>
      </c>
      <c r="D206" s="474">
        <v>0</v>
      </c>
      <c r="E206" s="474">
        <v>0</v>
      </c>
      <c r="F206" s="474">
        <v>0</v>
      </c>
      <c r="G206" s="474">
        <v>0</v>
      </c>
      <c r="H206" s="474">
        <v>0</v>
      </c>
      <c r="I206" s="474">
        <v>0</v>
      </c>
      <c r="J206" s="474">
        <v>0</v>
      </c>
      <c r="K206" s="474">
        <v>0</v>
      </c>
      <c r="L206" s="474">
        <v>0</v>
      </c>
      <c r="M206" s="474">
        <f>23363+2630</f>
        <v>25993</v>
      </c>
      <c r="N206" s="474">
        <v>0</v>
      </c>
      <c r="O206" s="471">
        <v>0</v>
      </c>
      <c r="P206" s="471">
        <v>0</v>
      </c>
      <c r="Q206" s="474">
        <f>AH206-R206</f>
        <v>3427</v>
      </c>
      <c r="R206" s="474">
        <f>SUM(D206:O206)-E206</f>
        <v>25993</v>
      </c>
      <c r="S206" s="478">
        <f>Q206+R206</f>
        <v>29420</v>
      </c>
      <c r="T206" s="1431"/>
      <c r="U206" s="475" t="s">
        <v>303</v>
      </c>
      <c r="V206" s="476" t="s">
        <v>527</v>
      </c>
      <c r="W206" s="474">
        <f>11719+113+72</f>
        <v>11904</v>
      </c>
      <c r="X206" s="474">
        <f>3164+31+19</f>
        <v>3214</v>
      </c>
      <c r="Y206" s="474">
        <f>9072+1600+2630</f>
        <v>13302</v>
      </c>
      <c r="Z206" s="474">
        <v>0</v>
      </c>
      <c r="AA206" s="474">
        <v>0</v>
      </c>
      <c r="AB206" s="474">
        <v>0</v>
      </c>
      <c r="AC206" s="474">
        <v>0</v>
      </c>
      <c r="AD206" s="474">
        <v>0</v>
      </c>
      <c r="AE206" s="474">
        <v>1000</v>
      </c>
      <c r="AF206" s="474">
        <f>AF186+AF191+AF196+AF201</f>
        <v>0</v>
      </c>
      <c r="AG206" s="474"/>
      <c r="AH206" s="478">
        <f>SUM(W206:AF206)</f>
        <v>29420</v>
      </c>
      <c r="AJ206" s="1276"/>
    </row>
    <row r="207" spans="1:36" s="1275" customFormat="1" ht="12.75">
      <c r="A207" s="1431"/>
      <c r="B207" s="475" t="s">
        <v>303</v>
      </c>
      <c r="C207" s="476" t="s">
        <v>321</v>
      </c>
      <c r="D207" s="474">
        <v>93</v>
      </c>
      <c r="E207" s="474">
        <v>0</v>
      </c>
      <c r="F207" s="474">
        <v>0</v>
      </c>
      <c r="G207" s="474">
        <v>0</v>
      </c>
      <c r="H207" s="474">
        <v>0</v>
      </c>
      <c r="I207" s="474">
        <v>0</v>
      </c>
      <c r="J207" s="474">
        <v>0</v>
      </c>
      <c r="K207" s="474">
        <v>0</v>
      </c>
      <c r="L207" s="474">
        <v>0</v>
      </c>
      <c r="M207" s="474">
        <v>25993</v>
      </c>
      <c r="N207" s="474">
        <v>0</v>
      </c>
      <c r="O207" s="471">
        <v>0</v>
      </c>
      <c r="P207" s="471">
        <v>0</v>
      </c>
      <c r="Q207" s="474">
        <v>3336</v>
      </c>
      <c r="R207" s="474">
        <f>SUM(D207:O207)-E207</f>
        <v>26086</v>
      </c>
      <c r="S207" s="478">
        <f>Q207+R207</f>
        <v>29422</v>
      </c>
      <c r="T207" s="1431"/>
      <c r="U207" s="475" t="s">
        <v>303</v>
      </c>
      <c r="V207" s="476" t="s">
        <v>321</v>
      </c>
      <c r="W207" s="474">
        <v>8684</v>
      </c>
      <c r="X207" s="474">
        <v>2424</v>
      </c>
      <c r="Y207" s="474">
        <v>8475</v>
      </c>
      <c r="Z207" s="474">
        <v>0</v>
      </c>
      <c r="AA207" s="474">
        <v>0</v>
      </c>
      <c r="AB207" s="474">
        <v>0</v>
      </c>
      <c r="AC207" s="474">
        <v>0</v>
      </c>
      <c r="AD207" s="474">
        <v>789</v>
      </c>
      <c r="AE207" s="474">
        <v>752</v>
      </c>
      <c r="AF207" s="474">
        <v>0</v>
      </c>
      <c r="AG207" s="474"/>
      <c r="AH207" s="478">
        <f>SUM(W207:AF207)</f>
        <v>21124</v>
      </c>
      <c r="AJ207" s="1276"/>
    </row>
    <row r="208" spans="1:36" s="1275" customFormat="1" ht="12" customHeight="1">
      <c r="A208" s="1438" t="s">
        <v>335</v>
      </c>
      <c r="B208" s="1287" t="s">
        <v>328</v>
      </c>
      <c r="C208" s="1288" t="s">
        <v>873</v>
      </c>
      <c r="D208" s="1289">
        <f aca="true" t="shared" si="48" ref="D208:K208">D6+D15+D23+D31+D39+D47+D55+D63+D163+D171+D199</f>
        <v>129030</v>
      </c>
      <c r="E208" s="1289">
        <f t="shared" si="48"/>
        <v>75180</v>
      </c>
      <c r="F208" s="1289">
        <f t="shared" si="48"/>
        <v>39341</v>
      </c>
      <c r="G208" s="1289">
        <f t="shared" si="48"/>
        <v>0</v>
      </c>
      <c r="H208" s="1289">
        <f t="shared" si="48"/>
        <v>9880</v>
      </c>
      <c r="I208" s="1289">
        <f t="shared" si="48"/>
        <v>0</v>
      </c>
      <c r="J208" s="1289">
        <f t="shared" si="48"/>
        <v>10000</v>
      </c>
      <c r="K208" s="1289">
        <f t="shared" si="48"/>
        <v>0</v>
      </c>
      <c r="L208" s="1289">
        <v>0</v>
      </c>
      <c r="M208" s="1289">
        <f aca="true" t="shared" si="49" ref="M208:S208">M6+M15+M23+M31+M39+M47+M55+M63+M163+M171+M199</f>
        <v>0</v>
      </c>
      <c r="N208" s="1289">
        <f t="shared" si="49"/>
        <v>0</v>
      </c>
      <c r="O208" s="1290">
        <v>0</v>
      </c>
      <c r="P208" s="1290">
        <v>0</v>
      </c>
      <c r="Q208" s="1289">
        <f t="shared" si="49"/>
        <v>779538</v>
      </c>
      <c r="R208" s="1289">
        <f t="shared" si="49"/>
        <v>188251</v>
      </c>
      <c r="S208" s="1291">
        <f t="shared" si="49"/>
        <v>967789</v>
      </c>
      <c r="T208" s="1438" t="s">
        <v>335</v>
      </c>
      <c r="U208" s="1287" t="s">
        <v>328</v>
      </c>
      <c r="V208" s="1288" t="s">
        <v>873</v>
      </c>
      <c r="W208" s="1289">
        <f aca="true" t="shared" si="50" ref="W208:AB208">W6+W15+W23+W31+W39+W47+W55+W63+W163+W171+W199</f>
        <v>384911</v>
      </c>
      <c r="X208" s="1289">
        <f t="shared" si="50"/>
        <v>100643</v>
      </c>
      <c r="Y208" s="1289">
        <f t="shared" si="50"/>
        <v>468022</v>
      </c>
      <c r="Z208" s="1289">
        <f t="shared" si="50"/>
        <v>171834</v>
      </c>
      <c r="AA208" s="1289">
        <f t="shared" si="50"/>
        <v>0</v>
      </c>
      <c r="AB208" s="1289">
        <f t="shared" si="50"/>
        <v>0</v>
      </c>
      <c r="AC208" s="1289">
        <v>0</v>
      </c>
      <c r="AD208" s="1289">
        <v>0</v>
      </c>
      <c r="AE208" s="1289">
        <f>AE6+AE15+AE23+AE31+AE39+AE47+AE55+AE63+AE163+AE171+AE199</f>
        <v>4813</v>
      </c>
      <c r="AF208" s="1289">
        <f>AF6+AF15+AF23+AF31+AF39+AF47+AF55+AF63+AF163+AF171+AF199</f>
        <v>9400</v>
      </c>
      <c r="AG208" s="1289"/>
      <c r="AH208" s="1291">
        <f>AH6+AH15+AH23+AH31+AH39+AH47+AH55+AH63+AH163+AH171+AH199</f>
        <v>967789</v>
      </c>
      <c r="AJ208" s="1276">
        <v>967789</v>
      </c>
    </row>
    <row r="209" spans="1:36" s="1275" customFormat="1" ht="12" customHeight="1">
      <c r="A209" s="1438"/>
      <c r="B209" s="1287" t="s">
        <v>328</v>
      </c>
      <c r="C209" s="1288" t="s">
        <v>304</v>
      </c>
      <c r="D209" s="1289">
        <f aca="true" t="shared" si="51" ref="D209:N211">D8+D16+D24+D32+D40+D48+D56+D64+D164+D172+D200</f>
        <v>129030</v>
      </c>
      <c r="E209" s="1289">
        <f t="shared" si="51"/>
        <v>75180</v>
      </c>
      <c r="F209" s="1289">
        <f t="shared" si="51"/>
        <v>39341</v>
      </c>
      <c r="G209" s="1289">
        <f t="shared" si="51"/>
        <v>0</v>
      </c>
      <c r="H209" s="1289">
        <f t="shared" si="51"/>
        <v>9880</v>
      </c>
      <c r="I209" s="1289">
        <f t="shared" si="51"/>
        <v>0</v>
      </c>
      <c r="J209" s="1289">
        <f t="shared" si="51"/>
        <v>10000</v>
      </c>
      <c r="K209" s="1289">
        <f t="shared" si="51"/>
        <v>0</v>
      </c>
      <c r="L209" s="1289">
        <f t="shared" si="51"/>
        <v>0</v>
      </c>
      <c r="M209" s="1289">
        <f t="shared" si="51"/>
        <v>0</v>
      </c>
      <c r="N209" s="1289">
        <f t="shared" si="51"/>
        <v>0</v>
      </c>
      <c r="O209" s="1290">
        <v>0</v>
      </c>
      <c r="P209" s="1290">
        <v>0</v>
      </c>
      <c r="Q209" s="1289">
        <f>AH209-R209</f>
        <v>779538</v>
      </c>
      <c r="R209" s="1289">
        <f>SUM(D209:O209)-E209</f>
        <v>188251</v>
      </c>
      <c r="S209" s="1291">
        <f>Q209+R209</f>
        <v>967789</v>
      </c>
      <c r="T209" s="1438"/>
      <c r="U209" s="1287" t="s">
        <v>328</v>
      </c>
      <c r="V209" s="1288" t="s">
        <v>304</v>
      </c>
      <c r="W209" s="1289">
        <f aca="true" t="shared" si="52" ref="W209:AB211">W8+W16+W24+W32+W40+W48+W56+W64+W164+W172+W200</f>
        <v>384911</v>
      </c>
      <c r="X209" s="1289">
        <f t="shared" si="52"/>
        <v>100643</v>
      </c>
      <c r="Y209" s="1289">
        <f t="shared" si="52"/>
        <v>468022</v>
      </c>
      <c r="Z209" s="1289">
        <f t="shared" si="52"/>
        <v>171834</v>
      </c>
      <c r="AA209" s="1289">
        <f t="shared" si="52"/>
        <v>0</v>
      </c>
      <c r="AB209" s="1289">
        <f t="shared" si="52"/>
        <v>0</v>
      </c>
      <c r="AC209" s="1289">
        <v>0</v>
      </c>
      <c r="AD209" s="1289">
        <v>0</v>
      </c>
      <c r="AE209" s="1289">
        <f aca="true" t="shared" si="53" ref="AE209:AF211">AE8+AE16+AE24+AE32+AE40+AE48+AE56+AE64+AE164+AE172+AE200</f>
        <v>4813</v>
      </c>
      <c r="AF209" s="1289">
        <f t="shared" si="53"/>
        <v>9400</v>
      </c>
      <c r="AG209" s="1289"/>
      <c r="AH209" s="1291">
        <f>AH8+AH16+AH24+AH32+AH40+AH48+AH56+AH64+AH164+AH172+AH200</f>
        <v>967789</v>
      </c>
      <c r="AI209" s="481">
        <f>AI8+AI16+AI24+AI32+AI40+AI48+AI56+AI64+AI164+AI172+AI200</f>
        <v>0</v>
      </c>
      <c r="AJ209" s="474">
        <f>AJ8+AJ16+AJ24+AJ32+AJ40+AJ48+AJ56+AJ64+AJ164+AJ172+AJ200</f>
        <v>846302</v>
      </c>
    </row>
    <row r="210" spans="1:36" s="1275" customFormat="1" ht="12" customHeight="1">
      <c r="A210" s="1438"/>
      <c r="B210" s="1287" t="s">
        <v>328</v>
      </c>
      <c r="C210" s="1288" t="s">
        <v>305</v>
      </c>
      <c r="D210" s="1289">
        <f t="shared" si="51"/>
        <v>143983</v>
      </c>
      <c r="E210" s="1289">
        <f t="shared" si="51"/>
        <v>90068</v>
      </c>
      <c r="F210" s="1289">
        <f t="shared" si="51"/>
        <v>39341</v>
      </c>
      <c r="G210" s="1289">
        <f t="shared" si="51"/>
        <v>0</v>
      </c>
      <c r="H210" s="1289">
        <f t="shared" si="51"/>
        <v>9880</v>
      </c>
      <c r="I210" s="1289">
        <f t="shared" si="51"/>
        <v>0</v>
      </c>
      <c r="J210" s="1289">
        <f t="shared" si="51"/>
        <v>13848</v>
      </c>
      <c r="K210" s="1289">
        <f t="shared" si="51"/>
        <v>285</v>
      </c>
      <c r="L210" s="1289">
        <f t="shared" si="51"/>
        <v>17676</v>
      </c>
      <c r="M210" s="1289">
        <f t="shared" si="51"/>
        <v>0</v>
      </c>
      <c r="N210" s="1289">
        <f t="shared" si="51"/>
        <v>27601</v>
      </c>
      <c r="O210" s="1290">
        <v>0</v>
      </c>
      <c r="P210" s="1290">
        <v>0</v>
      </c>
      <c r="Q210" s="1289">
        <f>AH210-R210</f>
        <v>804082</v>
      </c>
      <c r="R210" s="1289">
        <f>SUM(D210:O210)-E210</f>
        <v>252614</v>
      </c>
      <c r="S210" s="1291">
        <f>Q210+R210</f>
        <v>1056696</v>
      </c>
      <c r="T210" s="1438"/>
      <c r="U210" s="1287" t="s">
        <v>328</v>
      </c>
      <c r="V210" s="1288" t="s">
        <v>305</v>
      </c>
      <c r="W210" s="1289">
        <f t="shared" si="52"/>
        <v>397127</v>
      </c>
      <c r="X210" s="1289">
        <f t="shared" si="52"/>
        <v>103488</v>
      </c>
      <c r="Y210" s="1289">
        <f t="shared" si="52"/>
        <v>523907</v>
      </c>
      <c r="Z210" s="1289">
        <f t="shared" si="52"/>
        <v>200542</v>
      </c>
      <c r="AA210" s="1289">
        <f t="shared" si="52"/>
        <v>0</v>
      </c>
      <c r="AB210" s="1289">
        <f t="shared" si="52"/>
        <v>17676</v>
      </c>
      <c r="AC210" s="1289">
        <v>0</v>
      </c>
      <c r="AD210" s="1289">
        <v>0</v>
      </c>
      <c r="AE210" s="1289">
        <f t="shared" si="53"/>
        <v>5098</v>
      </c>
      <c r="AF210" s="1289">
        <f t="shared" si="53"/>
        <v>9400</v>
      </c>
      <c r="AG210" s="1289"/>
      <c r="AH210" s="1291">
        <f>AH9+AH17+AH25+AH33+AH41+AH49+AH57+AH65+AH165+AH173+AH201</f>
        <v>1056696</v>
      </c>
      <c r="AJ210" s="1276">
        <v>967789</v>
      </c>
    </row>
    <row r="211" spans="1:36" s="1275" customFormat="1" ht="12" customHeight="1">
      <c r="A211" s="1438"/>
      <c r="B211" s="1287" t="s">
        <v>303</v>
      </c>
      <c r="C211" s="1288" t="s">
        <v>306</v>
      </c>
      <c r="D211" s="1289">
        <f t="shared" si="51"/>
        <v>138111</v>
      </c>
      <c r="E211" s="1289">
        <f t="shared" si="51"/>
        <v>90068</v>
      </c>
      <c r="F211" s="1289">
        <f t="shared" si="51"/>
        <v>37564</v>
      </c>
      <c r="G211" s="1289">
        <f t="shared" si="51"/>
        <v>0</v>
      </c>
      <c r="H211" s="1289">
        <f t="shared" si="51"/>
        <v>1921</v>
      </c>
      <c r="I211" s="1289">
        <f t="shared" si="51"/>
        <v>0</v>
      </c>
      <c r="J211" s="1289">
        <f t="shared" si="51"/>
        <v>14042</v>
      </c>
      <c r="K211" s="1289">
        <f t="shared" si="51"/>
        <v>285</v>
      </c>
      <c r="L211" s="1289">
        <f t="shared" si="51"/>
        <v>17676</v>
      </c>
      <c r="M211" s="1289">
        <f t="shared" si="51"/>
        <v>0</v>
      </c>
      <c r="N211" s="1289">
        <f t="shared" si="51"/>
        <v>27601</v>
      </c>
      <c r="O211" s="1290">
        <v>0</v>
      </c>
      <c r="P211" s="1290">
        <v>0</v>
      </c>
      <c r="Q211" s="1289">
        <f>AH211-R211</f>
        <v>732082</v>
      </c>
      <c r="R211" s="1289">
        <f>SUM(D211:O211)-E211</f>
        <v>237200</v>
      </c>
      <c r="S211" s="1291">
        <f>Q211+R211</f>
        <v>969282</v>
      </c>
      <c r="T211" s="1438"/>
      <c r="U211" s="1287" t="s">
        <v>303</v>
      </c>
      <c r="V211" s="1288" t="s">
        <v>306</v>
      </c>
      <c r="W211" s="1289">
        <f t="shared" si="52"/>
        <v>352578</v>
      </c>
      <c r="X211" s="1289">
        <f t="shared" si="52"/>
        <v>91494</v>
      </c>
      <c r="Y211" s="1289">
        <f t="shared" si="52"/>
        <v>490883</v>
      </c>
      <c r="Z211" s="1289">
        <f t="shared" si="52"/>
        <v>204242</v>
      </c>
      <c r="AA211" s="1289">
        <f t="shared" si="52"/>
        <v>0</v>
      </c>
      <c r="AB211" s="1289">
        <f t="shared" si="52"/>
        <v>17676</v>
      </c>
      <c r="AC211" s="1289">
        <f>AC10+AC18+AC26+AC34+AC42+AC50+AC58+AC66+AC166+AC174+AC202</f>
        <v>766</v>
      </c>
      <c r="AD211" s="1289">
        <v>0</v>
      </c>
      <c r="AE211" s="1289">
        <f t="shared" si="53"/>
        <v>5865</v>
      </c>
      <c r="AF211" s="1289">
        <f t="shared" si="53"/>
        <v>10020</v>
      </c>
      <c r="AG211" s="1289">
        <f>AG10+AG18+AG26+AG34+AG42+AG50+AG58+AG66+AG166+AG174+AG202</f>
        <v>0</v>
      </c>
      <c r="AH211" s="1291">
        <f>AH10+AH18+AH26+AH34+AH42+AH50+AH58+AH66+AH166+AH174+AH202</f>
        <v>969282</v>
      </c>
      <c r="AJ211" s="1276"/>
    </row>
    <row r="212" spans="1:36" s="1275" customFormat="1" ht="12" customHeight="1">
      <c r="A212" s="1438"/>
      <c r="B212" s="1287" t="s">
        <v>303</v>
      </c>
      <c r="C212" s="1288" t="s">
        <v>307</v>
      </c>
      <c r="D212" s="1289">
        <f>D11+D19+D27+D35+D43+D51+D59+D67+D167+D175+$D$202+D204</f>
        <v>147865</v>
      </c>
      <c r="E212" s="1289">
        <f>E11+E19+E27+E35+E43+E51+E59+E67+E167+E175+$E$202+E204</f>
        <v>90068</v>
      </c>
      <c r="F212" s="1289">
        <f>F11+F19+F27+F35+F43+F51+F59+F67+F167+F175+$F$202+F204</f>
        <v>40949</v>
      </c>
      <c r="G212" s="1289">
        <f>G11+G19+G27+G35+G43+G51+G59+G67+G167+G175+G202+G204</f>
        <v>0</v>
      </c>
      <c r="H212" s="1289">
        <f>H11+H19+H27+H35+H43+H51+H59+H67+H167+H175+$H$202+H204</f>
        <v>1640</v>
      </c>
      <c r="I212" s="1289">
        <f>I11+I19+I27+I35+I43+I51+I59+I67+I167+I175+I202+I204</f>
        <v>0</v>
      </c>
      <c r="J212" s="1289">
        <f>J11+J19+J27+J35+J43+J51+J59+J67+J167+J175+$J$202+J204</f>
        <v>18350</v>
      </c>
      <c r="K212" s="1289">
        <f>K11+K19+K27+K35+K43+K51+K59+K67+K167+K175+$K$202+K204</f>
        <v>285</v>
      </c>
      <c r="L212" s="1289">
        <f>L11+L19+L27+L35+L43+L51+L59+L67+L167+L175+$L$202+L204</f>
        <v>17676</v>
      </c>
      <c r="M212" s="1289">
        <f>M11+M19+M27+M35+M43+M51+M59+M67+M167+M175+$M$202+M204</f>
        <v>23363</v>
      </c>
      <c r="N212" s="1289">
        <f>N11+N19+N27+N35+N43+N51+N59+N67+N167+N175+$N$202+N204</f>
        <v>27601</v>
      </c>
      <c r="O212" s="1290">
        <v>0</v>
      </c>
      <c r="P212" s="1290">
        <v>0</v>
      </c>
      <c r="Q212" s="1289">
        <f>Q11+Q19+Q27+Q35+Q43+Q51+Q59+Q67+Q167+Q175+$Q$202+Q204</f>
        <v>757958</v>
      </c>
      <c r="R212" s="1289">
        <f>R11+R19+R27+R35+R43+R51+R59+R67+R167+R175+$R$202+R204</f>
        <v>277729</v>
      </c>
      <c r="S212" s="1291">
        <f>S11+S19+S27+S35+S43+S51+S59+S67+S167+S175+$S$202+S204</f>
        <v>1035687</v>
      </c>
      <c r="T212" s="1438"/>
      <c r="U212" s="1287" t="s">
        <v>303</v>
      </c>
      <c r="V212" s="1288" t="s">
        <v>307</v>
      </c>
      <c r="W212" s="1289">
        <f>W11+W19+W27+W35+W43+W51+W59+W67+W167+W175+$W$202+W204</f>
        <v>385358</v>
      </c>
      <c r="X212" s="1289">
        <f>X11+X19+X27+X35+X43+X51+X59+X67+X167+X175+$X$202+X204</f>
        <v>100471</v>
      </c>
      <c r="Y212" s="1289">
        <f>Y11+Y19+Y27+Y35+Y43+Y51+Y59+Y67+Y167+Y175+$Y$202+Y204</f>
        <v>517975</v>
      </c>
      <c r="Z212" s="1289">
        <f>Z11+Z19+Z27+Z35+Z43+Z51+Z59+Z67+Z167+Z175+$Z$202+Z204</f>
        <v>200542</v>
      </c>
      <c r="AA212" s="1289">
        <f>AA11+AA19+AA27+AA35+AA43+AA51+AA59+AA67+AA167+AA175+AA202+AA204</f>
        <v>0</v>
      </c>
      <c r="AB212" s="1289">
        <f>AB11+AB19+AB27+AB35+AB43+AB51+AB59+AB67+AB167+AB175+$AB$202+AB204</f>
        <v>17676</v>
      </c>
      <c r="AC212" s="1289">
        <f>AC11+AC19+AC27+AC35+AC43+AC51+AC59+AC67+AC167+AC175+$AC$202+AC204</f>
        <v>766</v>
      </c>
      <c r="AD212" s="1289">
        <v>0</v>
      </c>
      <c r="AE212" s="1289">
        <f>AE11+AE19+AE27+AE35+AE43+AE51+AE59+AE67+AE167+AE175+$AE$202+AE204</f>
        <v>4041</v>
      </c>
      <c r="AF212" s="1289">
        <f>AF11+AF19+AF27+AF35+AF43+AF51+AF59+AF67+AF167+AF175+$AF$202+AF204</f>
        <v>9400</v>
      </c>
      <c r="AG212" s="1289">
        <f>AG11+AG19+AG27+AG35+AG43+AG51+AG59+AG67+AG167+AG175+AG202+AG204</f>
        <v>0</v>
      </c>
      <c r="AH212" s="1291">
        <f>AH11+AH19+AH27+AH35+AH43+AH51+AH59+AH67+AH167+AH175+$AH$202+AH204</f>
        <v>1035687</v>
      </c>
      <c r="AJ212" s="1276"/>
    </row>
    <row r="213" spans="1:36" s="1275" customFormat="1" ht="12" customHeight="1">
      <c r="A213" s="1438"/>
      <c r="B213" s="1287" t="s">
        <v>303</v>
      </c>
      <c r="C213" s="1288" t="s">
        <v>308</v>
      </c>
      <c r="D213" s="1289">
        <f>D12+D20+D28+D36+D44+D52+D60+D68+D168+D176+$D$202+D205</f>
        <v>151816</v>
      </c>
      <c r="E213" s="1289">
        <f>E12+E20+E28+E36+E44+E52+E60+E68+E168+E176+$E$202+E205</f>
        <v>86903</v>
      </c>
      <c r="F213" s="1289">
        <f>F12+F20+F28+F36+F44+F52+F60+F68+F168+F176+$F$202+F205</f>
        <v>47414</v>
      </c>
      <c r="G213" s="1289"/>
      <c r="H213" s="1289">
        <f>H12+H20+H28+H36+H44+H52+H60+H68+H168+H176+$H$202+H205</f>
        <v>1721</v>
      </c>
      <c r="I213" s="1289">
        <f>I12+I20+I28+I36+I44+I52+I60+I68+I168+I176+$H$202+I205</f>
        <v>0</v>
      </c>
      <c r="J213" s="1289">
        <f>J12+J20+J28+J36+J44+J52+J60+J68+J168+J176+$J$202+J205</f>
        <v>30198</v>
      </c>
      <c r="K213" s="1289">
        <f>K12+K20+K28+K36+K44+K52+K60+K68+K168+K176+$K$202+K205</f>
        <v>285</v>
      </c>
      <c r="L213" s="1289">
        <f>L12+L20+L28+L36+L44+L52+L60+L68+L168+L176+$L$202+L205</f>
        <v>17676</v>
      </c>
      <c r="M213" s="1289">
        <f>M12+M20+M28+M36+M44+M52+M60+M68+M168+M176+$M$202+M205</f>
        <v>25993</v>
      </c>
      <c r="N213" s="1289">
        <f>N12+N20+N28+N36+N44+N52+N60+N68+N168+N176+$N$202+N205</f>
        <v>27601</v>
      </c>
      <c r="O213" s="1289">
        <f>O12+O20+O28+O36+O44+O52+O60+O68+O168+O176+$N$202+O205</f>
        <v>867</v>
      </c>
      <c r="P213" s="1290">
        <v>0</v>
      </c>
      <c r="Q213" s="1289">
        <f>Q12+Q20+Q28+Q36+Q44+Q52+Q60+Q68+Q168+Q176+$Q$202+Q205</f>
        <v>758153</v>
      </c>
      <c r="R213" s="1289">
        <f>R12+R20+R28+R36+R44+R52+R60+R68+R168+R176+$R$202+R205</f>
        <v>302704</v>
      </c>
      <c r="S213" s="1291">
        <f>S12+S20+S28+S36+S44+S52+S60+S68+S168+S176+$S$202+S205</f>
        <v>1060857</v>
      </c>
      <c r="T213" s="1438"/>
      <c r="U213" s="1287" t="s">
        <v>303</v>
      </c>
      <c r="V213" s="1288" t="s">
        <v>308</v>
      </c>
      <c r="W213" s="1289">
        <f>W12+W20+W28+W36+W44+W52+W60+W68+W168+W176+$W$202+W205</f>
        <v>385550</v>
      </c>
      <c r="X213" s="1289">
        <f>X12+X20+X28+X36+X44+X52+X60+X68+X168+X176+$X$202+X205</f>
        <v>100523</v>
      </c>
      <c r="Y213" s="1289">
        <f>Y12+Y20+Y28+Y36+Y44+Y52+Y60+Y68+Y168+Y176+$Y$202+Y205</f>
        <v>527708</v>
      </c>
      <c r="Z213" s="1289">
        <f>Z12+Z20+Z28+Z36+Z44+Z52+Z60+Z68+Z168+Z176+$Z$202+Z205</f>
        <v>197074</v>
      </c>
      <c r="AA213" s="1289"/>
      <c r="AB213" s="1289">
        <f>AB12+AB20+AB28+AB36+AB44+AB52+AB60+AB68+AB168+AB176+$AB$202+AB205</f>
        <v>17676</v>
      </c>
      <c r="AC213" s="1289">
        <f>AC12+AC20+AC28+AC36+AC44+AC52+AC60+AC68+AC168+AC176+$AC$202+AC205</f>
        <v>12463</v>
      </c>
      <c r="AD213" s="1289">
        <v>0</v>
      </c>
      <c r="AE213" s="1289">
        <f>AE12+AE20+AE28+AE36+AE44+AE52+AE60+AE68+AE168+AE176+$AE$202+AE205</f>
        <v>5653</v>
      </c>
      <c r="AF213" s="1289">
        <f>AF12+AF20+AF28+AF36+AF44+AF52+AF60+AF68+AF168+AF176+$AF$202+AF205</f>
        <v>11284</v>
      </c>
      <c r="AG213" s="1289"/>
      <c r="AH213" s="1291">
        <f>AH12+AH20+AH28+AH36+AH44+AH52+AH60+AH68+AH168+AH176+$AH$202+AH205</f>
        <v>1060857</v>
      </c>
      <c r="AJ213" s="1276"/>
    </row>
    <row r="214" spans="1:36" s="1275" customFormat="1" ht="12" customHeight="1">
      <c r="A214" s="1438"/>
      <c r="B214" s="1287" t="s">
        <v>303</v>
      </c>
      <c r="C214" s="1288" t="s">
        <v>527</v>
      </c>
      <c r="D214" s="1289">
        <f>D13+D21+D29+D37+D45+D53+D61+D69+D169+D177+$D$202+D206</f>
        <v>151816</v>
      </c>
      <c r="E214" s="1289">
        <f>E13+E21+E29+E37+E45+E53+E61+E69+E169+E177+$E$202+E206</f>
        <v>86903</v>
      </c>
      <c r="F214" s="1289">
        <f>F13+F21+F29+F37+F45+F53+F61+F69+F169+F177+$F$202+F206</f>
        <v>47414</v>
      </c>
      <c r="G214" s="1289"/>
      <c r="H214" s="1289">
        <f>H13+H21+H29+H37+H45+H53+H61+H69+H169+H177+$H$202+H206</f>
        <v>1721</v>
      </c>
      <c r="I214" s="1289">
        <f>I13+I21+I29+I37+I45+I53+I61+I69+I169+I177+I204+I206</f>
        <v>0</v>
      </c>
      <c r="J214" s="1289">
        <f>J13+J21+J29+J37+J45+J53+J61+J69+J169+J177+$J$202+J206</f>
        <v>30198</v>
      </c>
      <c r="K214" s="1289">
        <f>K13+K21+K29+K37+K45+K53+K61+K69+K169+K177+$K$202+K206</f>
        <v>285</v>
      </c>
      <c r="L214" s="1289">
        <f>L13+L21+L29+L37+L45+L53+L61+L69+L169+L177+$L$202+L206</f>
        <v>17676</v>
      </c>
      <c r="M214" s="1289">
        <f>M13+M21+M29+M37+M45+M53+M61+M69+M169+M177+$M$202+M206</f>
        <v>25993</v>
      </c>
      <c r="N214" s="1289">
        <f>N13+N21+N29+N37+N45+N53+N61+N69+N169+N177+$N$202+N206</f>
        <v>27601</v>
      </c>
      <c r="O214" s="1289">
        <f>O13+O21+O29+O37+O45+O53+O61+O69+O169+O177+O204+O206</f>
        <v>0</v>
      </c>
      <c r="P214" s="1290">
        <v>0</v>
      </c>
      <c r="Q214" s="1289">
        <f>Q13+Q21+Q29+Q37+Q45+Q53+Q61+Q69+Q169+Q177+$Q$202+Q206</f>
        <v>758501</v>
      </c>
      <c r="R214" s="1289">
        <f>R13+R21+R29+R37+R45+R53+R61+R69+R169+R177+$R$202+R206</f>
        <v>302704</v>
      </c>
      <c r="S214" s="1291">
        <f>S13+S21+S29+S37+S45+S53+S61+S69+S169+S177+$S$202+S206</f>
        <v>1061205</v>
      </c>
      <c r="T214" s="1438"/>
      <c r="U214" s="1287" t="s">
        <v>303</v>
      </c>
      <c r="V214" s="1288" t="s">
        <v>527</v>
      </c>
      <c r="W214" s="1289">
        <f>W13+W21+W29+W37+W45+W53+W61+W69+W169+W177+$W$202+W206</f>
        <v>385824</v>
      </c>
      <c r="X214" s="1289">
        <f>X13+X21+X29+X37+X45+X53+X61+X69+X169+X177+$X$202+X206</f>
        <v>100597</v>
      </c>
      <c r="Y214" s="1289">
        <f>Y13+Y21+Y29+Y37+Y45+Y53+Y61+Y69+Y169+Y177+$Y$202+Y206</f>
        <v>527708</v>
      </c>
      <c r="Z214" s="1289">
        <f>Z13+Z21+Z29+Z37+Z45+Z53+Z61+Z69+Z169+Z177+$Z$202+Z206</f>
        <v>197074</v>
      </c>
      <c r="AA214" s="1289"/>
      <c r="AB214" s="1289">
        <f>AB13+AB21+AB29+AB37+AB45+AB53+AB61+AB69+AB169+AB177+$AB$202+AB206</f>
        <v>17676</v>
      </c>
      <c r="AC214" s="1289">
        <f>AC13+AC21+AC29+AC37+AC45+AC53+AC61+AC69+AC169+AC177+$AC$202+AC206</f>
        <v>12463</v>
      </c>
      <c r="AD214" s="1289">
        <v>0</v>
      </c>
      <c r="AE214" s="1289">
        <f>AE13+AE21+AE29+AE37+AE45+AE53+AE61+AE69+AE169+AE177+$AE$202+AE206</f>
        <v>5653</v>
      </c>
      <c r="AF214" s="1289">
        <f>AF13+AF21+AF29+AF37+AF45+AF53+AF61+AF69+AF169+AF177+$AF$202+AF206</f>
        <v>11284</v>
      </c>
      <c r="AG214" s="1289"/>
      <c r="AH214" s="1291">
        <f>AH13+AH21+AH29+AH37+AH45+AH53+AH61+AH69+AH169+AH177+$AH$202+AH206</f>
        <v>1061205</v>
      </c>
      <c r="AJ214" s="1276"/>
    </row>
    <row r="215" spans="1:36" s="1275" customFormat="1" ht="12" customHeight="1">
      <c r="A215" s="1438"/>
      <c r="B215" s="1287" t="s">
        <v>303</v>
      </c>
      <c r="C215" s="1288" t="s">
        <v>321</v>
      </c>
      <c r="D215" s="1289">
        <f>D14+D22+D30+D38+D46+D54+D62+D70+D170+D178+$D$203+D207</f>
        <v>134989</v>
      </c>
      <c r="E215" s="1289">
        <f>E14+E22+E30+E38+E46+E54+E62+E70+E170+E178+$E$202+E207</f>
        <v>75915</v>
      </c>
      <c r="F215" s="1289">
        <f>F14+F22+F30+F38+F46+F54+F62+F70+F170+F178+$F$203+F207</f>
        <v>44081</v>
      </c>
      <c r="G215" s="1289"/>
      <c r="H215" s="1289">
        <f>H14+H22+H30+H38+H46+H54+H62+H70+H170+H178+$H$203+H207</f>
        <v>1721</v>
      </c>
      <c r="I215" s="1289">
        <f>I14+I22+I30+I38+I46+I54+I62+I70+I170+I178+I205+I207</f>
        <v>0</v>
      </c>
      <c r="J215" s="1289">
        <f>J14+J22+J30+J38+J46+J54+J62+J70+J170+J178+$J$203+J207</f>
        <v>45462</v>
      </c>
      <c r="K215" s="1289">
        <f>K14+K22+K30+K38+K46+K54+K62+K70+K170+K178+$K$202+K207</f>
        <v>0</v>
      </c>
      <c r="L215" s="1289">
        <f>L14+L22+L30+L38+L46+L54+L62+L70+L170+L178+$L$202+L207</f>
        <v>17676</v>
      </c>
      <c r="M215" s="1289">
        <f>M14+M22+M30+M38+M46+M54+M62+M70+M170+M178+$M$203+M207</f>
        <v>25993</v>
      </c>
      <c r="N215" s="1289">
        <f>N14+N22+N30+N38+N46+N54+N62+N70+N170+N178+$N$203+N207</f>
        <v>27601</v>
      </c>
      <c r="O215" s="1289">
        <f>O14+O22+O30+O38+O46+O54+O62+O70+O170+O178+O205+O207</f>
        <v>0</v>
      </c>
      <c r="P215" s="1289">
        <v>0</v>
      </c>
      <c r="Q215" s="1289">
        <f>Q14+Q22+Q30+Q38+Q46+Q54+Q62+Q70+Q170+Q178+$Q$202+Q207</f>
        <v>747206</v>
      </c>
      <c r="R215" s="1289">
        <f>R14+R22+R30+R38+R46+R54+R62+R70+R170+R178+$R$202+R207</f>
        <v>297589</v>
      </c>
      <c r="S215" s="1291">
        <v>1044729</v>
      </c>
      <c r="T215" s="1438"/>
      <c r="U215" s="1287" t="s">
        <v>303</v>
      </c>
      <c r="V215" s="1288" t="s">
        <v>321</v>
      </c>
      <c r="W215" s="1289">
        <f>W14+W22+W30+W38+W46+W54+W62+W70+W170+W178+W207+W203</f>
        <v>370641</v>
      </c>
      <c r="X215" s="1289">
        <f aca="true" t="shared" si="54" ref="X215:AG215">X14+X22+X30+X38+X46+X54+X62+X70+X170+X178+X207+X203</f>
        <v>92991</v>
      </c>
      <c r="Y215" s="1289">
        <f t="shared" si="54"/>
        <v>474134</v>
      </c>
      <c r="Z215" s="1289">
        <f t="shared" si="54"/>
        <v>220539</v>
      </c>
      <c r="AA215" s="1289">
        <f t="shared" si="54"/>
        <v>0</v>
      </c>
      <c r="AB215" s="1289">
        <f t="shared" si="54"/>
        <v>17676</v>
      </c>
      <c r="AC215" s="1289">
        <f>AC14+AC22+AC30+AC38+AC46+AC54+AC62+AC70+AC170+AC178+AC207+AC203</f>
        <v>12463</v>
      </c>
      <c r="AD215" s="1289">
        <f>AD14+AD22+AD30+AD38+AD46+AD54+AD62+AD70+AD170+AD178+AD207+AD203</f>
        <v>-761</v>
      </c>
      <c r="AE215" s="1289">
        <f t="shared" si="54"/>
        <v>5179</v>
      </c>
      <c r="AF215" s="1289">
        <f t="shared" si="54"/>
        <v>11046</v>
      </c>
      <c r="AG215" s="1289">
        <f t="shared" si="54"/>
        <v>0</v>
      </c>
      <c r="AH215" s="1291">
        <v>984130</v>
      </c>
      <c r="AJ215" s="1276"/>
    </row>
    <row r="216" spans="1:36" s="1275" customFormat="1" ht="12" customHeight="1">
      <c r="A216" s="1439"/>
      <c r="B216" s="1436" t="s">
        <v>1252</v>
      </c>
      <c r="C216" s="1437"/>
      <c r="D216" s="1289"/>
      <c r="E216" s="1289"/>
      <c r="F216" s="1289"/>
      <c r="G216" s="1289"/>
      <c r="H216" s="1289"/>
      <c r="I216" s="1289"/>
      <c r="J216" s="1289"/>
      <c r="K216" s="1289"/>
      <c r="L216" s="1289"/>
      <c r="M216" s="1289"/>
      <c r="N216" s="1289"/>
      <c r="O216" s="1289"/>
      <c r="P216" s="1289">
        <v>66</v>
      </c>
      <c r="Q216" s="1289"/>
      <c r="R216" s="1289"/>
      <c r="S216" s="1291">
        <v>66</v>
      </c>
      <c r="T216" s="1439"/>
      <c r="U216" s="1436" t="s">
        <v>1252</v>
      </c>
      <c r="V216" s="1437"/>
      <c r="W216" s="1289"/>
      <c r="X216" s="1289"/>
      <c r="Y216" s="1289"/>
      <c r="Z216" s="1289"/>
      <c r="AA216" s="1289"/>
      <c r="AB216" s="1289"/>
      <c r="AC216" s="1289"/>
      <c r="AD216" s="1289">
        <v>-761</v>
      </c>
      <c r="AE216" s="1289"/>
      <c r="AF216" s="1289"/>
      <c r="AG216" s="1289"/>
      <c r="AH216" s="1291">
        <v>-761</v>
      </c>
      <c r="AJ216" s="1276"/>
    </row>
    <row r="217" spans="1:36" s="1275" customFormat="1" ht="12" customHeight="1">
      <c r="A217" s="1439"/>
      <c r="B217" s="1287" t="s">
        <v>872</v>
      </c>
      <c r="C217" s="1292" t="s">
        <v>321</v>
      </c>
      <c r="D217" s="1289">
        <v>134989</v>
      </c>
      <c r="E217" s="1289">
        <v>75915</v>
      </c>
      <c r="F217" s="1289">
        <v>44081</v>
      </c>
      <c r="G217" s="1289"/>
      <c r="H217" s="1289">
        <v>1721</v>
      </c>
      <c r="I217" s="1289">
        <v>0</v>
      </c>
      <c r="J217" s="1289">
        <v>45462</v>
      </c>
      <c r="K217" s="1289">
        <v>0</v>
      </c>
      <c r="L217" s="1289">
        <v>17676</v>
      </c>
      <c r="M217" s="1289">
        <v>25993</v>
      </c>
      <c r="N217" s="1289">
        <v>27601</v>
      </c>
      <c r="O217" s="1289">
        <v>0</v>
      </c>
      <c r="P217" s="1289">
        <v>66</v>
      </c>
      <c r="Q217" s="1289">
        <v>747206</v>
      </c>
      <c r="R217" s="1289">
        <v>297589</v>
      </c>
      <c r="S217" s="1291">
        <f>SUM(S234+S233+S225)</f>
        <v>1044795</v>
      </c>
      <c r="T217" s="1439"/>
      <c r="U217" s="1287" t="s">
        <v>872</v>
      </c>
      <c r="V217" s="1292" t="s">
        <v>321</v>
      </c>
      <c r="W217" s="1289">
        <v>370641</v>
      </c>
      <c r="X217" s="1289">
        <v>92991</v>
      </c>
      <c r="Y217" s="1289">
        <v>747134</v>
      </c>
      <c r="Z217" s="1289">
        <v>220539</v>
      </c>
      <c r="AA217" s="1289"/>
      <c r="AB217" s="1289">
        <v>17676</v>
      </c>
      <c r="AC217" s="1289">
        <v>12463</v>
      </c>
      <c r="AD217" s="1289"/>
      <c r="AE217" s="1289">
        <v>5179</v>
      </c>
      <c r="AF217" s="1289">
        <v>11046</v>
      </c>
      <c r="AG217" s="1289"/>
      <c r="AH217" s="1291">
        <f>SUM(AH234+AH233+AH225)</f>
        <v>983369</v>
      </c>
      <c r="AJ217" s="1276"/>
    </row>
    <row r="218" spans="1:34" s="1275" customFormat="1" ht="12.75">
      <c r="A218" s="1431" t="s">
        <v>336</v>
      </c>
      <c r="B218" s="475" t="s">
        <v>337</v>
      </c>
      <c r="C218" s="476" t="s">
        <v>873</v>
      </c>
      <c r="D218" s="474">
        <f aca="true" t="shared" si="55" ref="D218:P218">D208-D155</f>
        <v>128364</v>
      </c>
      <c r="E218" s="474">
        <f t="shared" si="55"/>
        <v>75180</v>
      </c>
      <c r="F218" s="474">
        <f t="shared" si="55"/>
        <v>31161</v>
      </c>
      <c r="G218" s="474">
        <f t="shared" si="55"/>
        <v>0</v>
      </c>
      <c r="H218" s="474">
        <f t="shared" si="55"/>
        <v>9880</v>
      </c>
      <c r="I218" s="474">
        <f t="shared" si="55"/>
        <v>0</v>
      </c>
      <c r="J218" s="474">
        <f t="shared" si="55"/>
        <v>10000</v>
      </c>
      <c r="K218" s="474">
        <f t="shared" si="55"/>
        <v>0</v>
      </c>
      <c r="L218" s="474">
        <f t="shared" si="55"/>
        <v>0</v>
      </c>
      <c r="M218" s="474">
        <f t="shared" si="55"/>
        <v>0</v>
      </c>
      <c r="N218" s="474">
        <f t="shared" si="55"/>
        <v>0</v>
      </c>
      <c r="O218" s="474">
        <f t="shared" si="55"/>
        <v>0</v>
      </c>
      <c r="P218" s="474">
        <f t="shared" si="55"/>
        <v>0</v>
      </c>
      <c r="Q218" s="474">
        <f aca="true" t="shared" si="56" ref="Q218:Q224">AH218-R218</f>
        <v>756050</v>
      </c>
      <c r="R218" s="474">
        <f aca="true" t="shared" si="57" ref="R218:R224">SUM(D218:O218)-E218</f>
        <v>179405</v>
      </c>
      <c r="S218" s="478">
        <f aca="true" t="shared" si="58" ref="S218:S224">Q218+R218</f>
        <v>935455</v>
      </c>
      <c r="T218" s="1431" t="s">
        <v>336</v>
      </c>
      <c r="U218" s="475" t="s">
        <v>337</v>
      </c>
      <c r="V218" s="476" t="s">
        <v>873</v>
      </c>
      <c r="W218" s="477">
        <f>W208-W226</f>
        <v>367129</v>
      </c>
      <c r="X218" s="474">
        <f aca="true" t="shared" si="59" ref="X218:AD224">X208-X155</f>
        <v>95905</v>
      </c>
      <c r="Y218" s="474">
        <f t="shared" si="59"/>
        <v>458208</v>
      </c>
      <c r="Z218" s="474">
        <f t="shared" si="59"/>
        <v>171834</v>
      </c>
      <c r="AA218" s="474">
        <f t="shared" si="59"/>
        <v>0</v>
      </c>
      <c r="AB218" s="474">
        <f t="shared" si="59"/>
        <v>0</v>
      </c>
      <c r="AC218" s="474">
        <f t="shared" si="59"/>
        <v>0</v>
      </c>
      <c r="AD218" s="474">
        <f t="shared" si="59"/>
        <v>0</v>
      </c>
      <c r="AE218" s="474">
        <f>AE208-AE226</f>
        <v>4813</v>
      </c>
      <c r="AF218" s="474">
        <f>AF208-AF226</f>
        <v>9400</v>
      </c>
      <c r="AG218" s="474"/>
      <c r="AH218" s="478">
        <f>SUM(W218:AF218)-Z218</f>
        <v>935455</v>
      </c>
    </row>
    <row r="219" spans="1:34" s="1275" customFormat="1" ht="12.75">
      <c r="A219" s="1431"/>
      <c r="B219" s="475" t="s">
        <v>337</v>
      </c>
      <c r="C219" s="476" t="s">
        <v>304</v>
      </c>
      <c r="D219" s="474">
        <f aca="true" t="shared" si="60" ref="D219:P219">D209-D156</f>
        <v>128364</v>
      </c>
      <c r="E219" s="474">
        <f t="shared" si="60"/>
        <v>75180</v>
      </c>
      <c r="F219" s="474">
        <f t="shared" si="60"/>
        <v>31161</v>
      </c>
      <c r="G219" s="474">
        <f t="shared" si="60"/>
        <v>0</v>
      </c>
      <c r="H219" s="474">
        <f t="shared" si="60"/>
        <v>9880</v>
      </c>
      <c r="I219" s="474">
        <f t="shared" si="60"/>
        <v>0</v>
      </c>
      <c r="J219" s="474">
        <f t="shared" si="60"/>
        <v>10000</v>
      </c>
      <c r="K219" s="474">
        <f t="shared" si="60"/>
        <v>0</v>
      </c>
      <c r="L219" s="474">
        <f t="shared" si="60"/>
        <v>0</v>
      </c>
      <c r="M219" s="474">
        <f t="shared" si="60"/>
        <v>0</v>
      </c>
      <c r="N219" s="474">
        <f t="shared" si="60"/>
        <v>0</v>
      </c>
      <c r="O219" s="474">
        <f t="shared" si="60"/>
        <v>0</v>
      </c>
      <c r="P219" s="474">
        <f t="shared" si="60"/>
        <v>0</v>
      </c>
      <c r="Q219" s="474">
        <f t="shared" si="56"/>
        <v>756050</v>
      </c>
      <c r="R219" s="474">
        <f t="shared" si="57"/>
        <v>179405</v>
      </c>
      <c r="S219" s="478">
        <f t="shared" si="58"/>
        <v>935455</v>
      </c>
      <c r="T219" s="1431"/>
      <c r="U219" s="475" t="s">
        <v>337</v>
      </c>
      <c r="V219" s="476" t="s">
        <v>304</v>
      </c>
      <c r="W219" s="477">
        <f aca="true" t="shared" si="61" ref="W219:W225">W209-W156</f>
        <v>367129</v>
      </c>
      <c r="X219" s="477">
        <f t="shared" si="59"/>
        <v>95905</v>
      </c>
      <c r="Y219" s="477">
        <f t="shared" si="59"/>
        <v>458208</v>
      </c>
      <c r="Z219" s="477">
        <f t="shared" si="59"/>
        <v>171834</v>
      </c>
      <c r="AA219" s="477">
        <f t="shared" si="59"/>
        <v>0</v>
      </c>
      <c r="AB219" s="477">
        <f t="shared" si="59"/>
        <v>0</v>
      </c>
      <c r="AC219" s="477">
        <f t="shared" si="59"/>
        <v>0</v>
      </c>
      <c r="AD219" s="477">
        <f t="shared" si="59"/>
        <v>0</v>
      </c>
      <c r="AE219" s="477">
        <f aca="true" t="shared" si="62" ref="AE219:AF225">AE209-AE156</f>
        <v>4813</v>
      </c>
      <c r="AF219" s="477">
        <f t="shared" si="62"/>
        <v>9400</v>
      </c>
      <c r="AG219" s="477"/>
      <c r="AH219" s="482">
        <f aca="true" t="shared" si="63" ref="AH219:AH224">AH209-AH156</f>
        <v>935455</v>
      </c>
    </row>
    <row r="220" spans="1:36" s="1275" customFormat="1" ht="12.75">
      <c r="A220" s="1431"/>
      <c r="B220" s="475" t="s">
        <v>337</v>
      </c>
      <c r="C220" s="476" t="s">
        <v>305</v>
      </c>
      <c r="D220" s="474">
        <f aca="true" t="shared" si="64" ref="D220:P220">D210-D157</f>
        <v>143317</v>
      </c>
      <c r="E220" s="474">
        <f t="shared" si="64"/>
        <v>90068</v>
      </c>
      <c r="F220" s="474">
        <f t="shared" si="64"/>
        <v>31161</v>
      </c>
      <c r="G220" s="474">
        <f t="shared" si="64"/>
        <v>0</v>
      </c>
      <c r="H220" s="474">
        <f t="shared" si="64"/>
        <v>9880</v>
      </c>
      <c r="I220" s="474">
        <f t="shared" si="64"/>
        <v>0</v>
      </c>
      <c r="J220" s="474">
        <f t="shared" si="64"/>
        <v>13848</v>
      </c>
      <c r="K220" s="474">
        <f t="shared" si="64"/>
        <v>285</v>
      </c>
      <c r="L220" s="474">
        <f t="shared" si="64"/>
        <v>17676</v>
      </c>
      <c r="M220" s="474">
        <f t="shared" si="64"/>
        <v>0</v>
      </c>
      <c r="N220" s="474">
        <f t="shared" si="64"/>
        <v>8294</v>
      </c>
      <c r="O220" s="474">
        <f t="shared" si="64"/>
        <v>0</v>
      </c>
      <c r="P220" s="474">
        <f t="shared" si="64"/>
        <v>0</v>
      </c>
      <c r="Q220" s="474">
        <f t="shared" si="56"/>
        <v>779343</v>
      </c>
      <c r="R220" s="474">
        <f t="shared" si="57"/>
        <v>224461</v>
      </c>
      <c r="S220" s="478">
        <f t="shared" si="58"/>
        <v>1003804</v>
      </c>
      <c r="T220" s="1431"/>
      <c r="U220" s="475" t="s">
        <v>337</v>
      </c>
      <c r="V220" s="476" t="s">
        <v>305</v>
      </c>
      <c r="W220" s="477">
        <f t="shared" si="61"/>
        <v>377852</v>
      </c>
      <c r="X220" s="477">
        <f t="shared" si="59"/>
        <v>98347</v>
      </c>
      <c r="Y220" s="477">
        <f t="shared" si="59"/>
        <v>513107</v>
      </c>
      <c r="Z220" s="477">
        <f t="shared" si="59"/>
        <v>200542</v>
      </c>
      <c r="AA220" s="477">
        <f t="shared" si="59"/>
        <v>0</v>
      </c>
      <c r="AB220" s="477">
        <f t="shared" si="59"/>
        <v>0</v>
      </c>
      <c r="AC220" s="477">
        <f t="shared" si="59"/>
        <v>0</v>
      </c>
      <c r="AD220" s="477">
        <f t="shared" si="59"/>
        <v>0</v>
      </c>
      <c r="AE220" s="477">
        <f t="shared" si="62"/>
        <v>5098</v>
      </c>
      <c r="AF220" s="477">
        <f t="shared" si="62"/>
        <v>9400</v>
      </c>
      <c r="AG220" s="477"/>
      <c r="AH220" s="482">
        <f t="shared" si="63"/>
        <v>1003804</v>
      </c>
      <c r="AI220" s="759">
        <f>AI210-AI157</f>
        <v>0</v>
      </c>
      <c r="AJ220" s="477">
        <f>AJ210-AJ157</f>
        <v>935455</v>
      </c>
    </row>
    <row r="221" spans="1:36" s="1275" customFormat="1" ht="12.75">
      <c r="A221" s="1431"/>
      <c r="B221" s="475" t="s">
        <v>337</v>
      </c>
      <c r="C221" s="476" t="s">
        <v>306</v>
      </c>
      <c r="D221" s="474">
        <f aca="true" t="shared" si="65" ref="D221:P221">D211-D158</f>
        <v>137445</v>
      </c>
      <c r="E221" s="474">
        <f t="shared" si="65"/>
        <v>90068</v>
      </c>
      <c r="F221" s="474">
        <f t="shared" si="65"/>
        <v>29384</v>
      </c>
      <c r="G221" s="474">
        <f t="shared" si="65"/>
        <v>0</v>
      </c>
      <c r="H221" s="474">
        <f t="shared" si="65"/>
        <v>1244</v>
      </c>
      <c r="I221" s="474">
        <f t="shared" si="65"/>
        <v>0</v>
      </c>
      <c r="J221" s="474">
        <f t="shared" si="65"/>
        <v>14042</v>
      </c>
      <c r="K221" s="474">
        <f t="shared" si="65"/>
        <v>285</v>
      </c>
      <c r="L221" s="474">
        <f t="shared" si="65"/>
        <v>17676</v>
      </c>
      <c r="M221" s="474">
        <f t="shared" si="65"/>
        <v>0</v>
      </c>
      <c r="N221" s="474">
        <f t="shared" si="65"/>
        <v>8294</v>
      </c>
      <c r="O221" s="474">
        <f t="shared" si="65"/>
        <v>0</v>
      </c>
      <c r="P221" s="474">
        <f t="shared" si="65"/>
        <v>0</v>
      </c>
      <c r="Q221" s="474">
        <f t="shared" si="56"/>
        <v>704374</v>
      </c>
      <c r="R221" s="474">
        <f t="shared" si="57"/>
        <v>208370</v>
      </c>
      <c r="S221" s="478">
        <f t="shared" si="58"/>
        <v>912744</v>
      </c>
      <c r="T221" s="1431"/>
      <c r="U221" s="475" t="s">
        <v>303</v>
      </c>
      <c r="V221" s="476" t="s">
        <v>306</v>
      </c>
      <c r="W221" s="477">
        <f t="shared" si="61"/>
        <v>332470</v>
      </c>
      <c r="X221" s="477">
        <f t="shared" si="59"/>
        <v>86140</v>
      </c>
      <c r="Y221" s="477">
        <f t="shared" si="59"/>
        <v>480083</v>
      </c>
      <c r="Z221" s="477">
        <f t="shared" si="59"/>
        <v>204242</v>
      </c>
      <c r="AA221" s="477">
        <f t="shared" si="59"/>
        <v>0</v>
      </c>
      <c r="AB221" s="477">
        <f t="shared" si="59"/>
        <v>0</v>
      </c>
      <c r="AC221" s="477">
        <f t="shared" si="59"/>
        <v>766</v>
      </c>
      <c r="AD221" s="477">
        <f t="shared" si="59"/>
        <v>0</v>
      </c>
      <c r="AE221" s="477">
        <f t="shared" si="62"/>
        <v>3265</v>
      </c>
      <c r="AF221" s="477">
        <f t="shared" si="62"/>
        <v>10020</v>
      </c>
      <c r="AG221" s="477">
        <f>AG211-AG158</f>
        <v>0</v>
      </c>
      <c r="AH221" s="482">
        <f t="shared" si="63"/>
        <v>912744</v>
      </c>
      <c r="AI221" s="759"/>
      <c r="AJ221" s="477"/>
    </row>
    <row r="222" spans="1:36" s="1275" customFormat="1" ht="12.75">
      <c r="A222" s="1431"/>
      <c r="B222" s="475" t="s">
        <v>337</v>
      </c>
      <c r="C222" s="476" t="s">
        <v>307</v>
      </c>
      <c r="D222" s="474">
        <f aca="true" t="shared" si="66" ref="D222:P222">D212-D159</f>
        <v>147199</v>
      </c>
      <c r="E222" s="474">
        <f t="shared" si="66"/>
        <v>90068</v>
      </c>
      <c r="F222" s="474">
        <f t="shared" si="66"/>
        <v>31648</v>
      </c>
      <c r="G222" s="474">
        <f t="shared" si="66"/>
        <v>0</v>
      </c>
      <c r="H222" s="474">
        <f t="shared" si="66"/>
        <v>963</v>
      </c>
      <c r="I222" s="474">
        <f t="shared" si="66"/>
        <v>0</v>
      </c>
      <c r="J222" s="474">
        <f t="shared" si="66"/>
        <v>18350</v>
      </c>
      <c r="K222" s="474">
        <f t="shared" si="66"/>
        <v>285</v>
      </c>
      <c r="L222" s="474">
        <f t="shared" si="66"/>
        <v>17676</v>
      </c>
      <c r="M222" s="474">
        <f t="shared" si="66"/>
        <v>23363</v>
      </c>
      <c r="N222" s="474">
        <f t="shared" si="66"/>
        <v>8294</v>
      </c>
      <c r="O222" s="474">
        <f t="shared" si="66"/>
        <v>0</v>
      </c>
      <c r="P222" s="474">
        <f t="shared" si="66"/>
        <v>0</v>
      </c>
      <c r="Q222" s="474">
        <f t="shared" si="56"/>
        <v>732022</v>
      </c>
      <c r="R222" s="474">
        <f t="shared" si="57"/>
        <v>247778</v>
      </c>
      <c r="S222" s="478">
        <f t="shared" si="58"/>
        <v>979800</v>
      </c>
      <c r="T222" s="1431"/>
      <c r="U222" s="475" t="s">
        <v>303</v>
      </c>
      <c r="V222" s="476" t="s">
        <v>307</v>
      </c>
      <c r="W222" s="477">
        <f t="shared" si="61"/>
        <v>364904</v>
      </c>
      <c r="X222" s="477">
        <f t="shared" si="59"/>
        <v>95025</v>
      </c>
      <c r="Y222" s="477">
        <f t="shared" si="59"/>
        <v>505664</v>
      </c>
      <c r="Z222" s="477">
        <f t="shared" si="59"/>
        <v>200542</v>
      </c>
      <c r="AA222" s="477">
        <f t="shared" si="59"/>
        <v>0</v>
      </c>
      <c r="AB222" s="477">
        <f t="shared" si="59"/>
        <v>0</v>
      </c>
      <c r="AC222" s="477">
        <f t="shared" si="59"/>
        <v>766</v>
      </c>
      <c r="AD222" s="477">
        <f t="shared" si="59"/>
        <v>0</v>
      </c>
      <c r="AE222" s="477">
        <f t="shared" si="62"/>
        <v>4041</v>
      </c>
      <c r="AF222" s="477">
        <f t="shared" si="62"/>
        <v>9400</v>
      </c>
      <c r="AG222" s="477">
        <f>AG212-AG159</f>
        <v>0</v>
      </c>
      <c r="AH222" s="482">
        <f t="shared" si="63"/>
        <v>979800</v>
      </c>
      <c r="AI222" s="759"/>
      <c r="AJ222" s="477"/>
    </row>
    <row r="223" spans="1:36" s="1275" customFormat="1" ht="12.75">
      <c r="A223" s="1431"/>
      <c r="B223" s="475" t="s">
        <v>337</v>
      </c>
      <c r="C223" s="476" t="s">
        <v>308</v>
      </c>
      <c r="D223" s="474">
        <f aca="true" t="shared" si="67" ref="D223:P223">D213-D160</f>
        <v>151161</v>
      </c>
      <c r="E223" s="474">
        <f t="shared" si="67"/>
        <v>86903</v>
      </c>
      <c r="F223" s="474">
        <f t="shared" si="67"/>
        <v>36359</v>
      </c>
      <c r="G223" s="474">
        <f t="shared" si="67"/>
        <v>0</v>
      </c>
      <c r="H223" s="474">
        <f t="shared" si="67"/>
        <v>1044</v>
      </c>
      <c r="I223" s="474">
        <f t="shared" si="67"/>
        <v>0</v>
      </c>
      <c r="J223" s="474">
        <f t="shared" si="67"/>
        <v>18501</v>
      </c>
      <c r="K223" s="474">
        <f t="shared" si="67"/>
        <v>285</v>
      </c>
      <c r="L223" s="474">
        <f t="shared" si="67"/>
        <v>17676</v>
      </c>
      <c r="M223" s="474">
        <f t="shared" si="67"/>
        <v>25993</v>
      </c>
      <c r="N223" s="474">
        <f t="shared" si="67"/>
        <v>8294</v>
      </c>
      <c r="O223" s="474">
        <f t="shared" si="67"/>
        <v>867</v>
      </c>
      <c r="P223" s="474">
        <f t="shared" si="67"/>
        <v>0</v>
      </c>
      <c r="Q223" s="474">
        <f t="shared" si="56"/>
        <v>743978</v>
      </c>
      <c r="R223" s="474">
        <f t="shared" si="57"/>
        <v>260180</v>
      </c>
      <c r="S223" s="478">
        <f t="shared" si="58"/>
        <v>1004158</v>
      </c>
      <c r="T223" s="1431"/>
      <c r="U223" s="475" t="s">
        <v>303</v>
      </c>
      <c r="V223" s="476" t="s">
        <v>308</v>
      </c>
      <c r="W223" s="477">
        <f t="shared" si="61"/>
        <v>365825</v>
      </c>
      <c r="X223" s="477">
        <f t="shared" si="59"/>
        <v>95290</v>
      </c>
      <c r="Y223" s="477">
        <f t="shared" si="59"/>
        <v>513643</v>
      </c>
      <c r="Z223" s="477">
        <f t="shared" si="59"/>
        <v>197074</v>
      </c>
      <c r="AA223" s="477">
        <f t="shared" si="59"/>
        <v>0</v>
      </c>
      <c r="AB223" s="477">
        <f t="shared" si="59"/>
        <v>0</v>
      </c>
      <c r="AC223" s="477">
        <f t="shared" si="59"/>
        <v>12463</v>
      </c>
      <c r="AD223" s="477">
        <f t="shared" si="59"/>
        <v>0</v>
      </c>
      <c r="AE223" s="477">
        <f t="shared" si="62"/>
        <v>5653</v>
      </c>
      <c r="AF223" s="477">
        <f t="shared" si="62"/>
        <v>11284</v>
      </c>
      <c r="AG223" s="477">
        <f>AG213-AG160</f>
        <v>0</v>
      </c>
      <c r="AH223" s="482">
        <f t="shared" si="63"/>
        <v>1004158</v>
      </c>
      <c r="AI223" s="759"/>
      <c r="AJ223" s="477"/>
    </row>
    <row r="224" spans="1:36" s="1275" customFormat="1" ht="12.75">
      <c r="A224" s="1431"/>
      <c r="B224" s="475" t="s">
        <v>337</v>
      </c>
      <c r="C224" s="476" t="s">
        <v>527</v>
      </c>
      <c r="D224" s="474">
        <f aca="true" t="shared" si="68" ref="D224:P224">D214-D161</f>
        <v>151161</v>
      </c>
      <c r="E224" s="474">
        <f t="shared" si="68"/>
        <v>86903</v>
      </c>
      <c r="F224" s="474">
        <f t="shared" si="68"/>
        <v>36359</v>
      </c>
      <c r="G224" s="474">
        <f t="shared" si="68"/>
        <v>0</v>
      </c>
      <c r="H224" s="474">
        <f t="shared" si="68"/>
        <v>1044</v>
      </c>
      <c r="I224" s="474">
        <f t="shared" si="68"/>
        <v>0</v>
      </c>
      <c r="J224" s="474">
        <f t="shared" si="68"/>
        <v>18501</v>
      </c>
      <c r="K224" s="474">
        <f t="shared" si="68"/>
        <v>285</v>
      </c>
      <c r="L224" s="474">
        <f t="shared" si="68"/>
        <v>17676</v>
      </c>
      <c r="M224" s="474">
        <f t="shared" si="68"/>
        <v>25993</v>
      </c>
      <c r="N224" s="474">
        <f t="shared" si="68"/>
        <v>8294</v>
      </c>
      <c r="O224" s="474">
        <f t="shared" si="68"/>
        <v>0</v>
      </c>
      <c r="P224" s="474">
        <f t="shared" si="68"/>
        <v>0</v>
      </c>
      <c r="Q224" s="474">
        <f t="shared" si="56"/>
        <v>744845</v>
      </c>
      <c r="R224" s="474">
        <f t="shared" si="57"/>
        <v>259313</v>
      </c>
      <c r="S224" s="478">
        <f t="shared" si="58"/>
        <v>1004158</v>
      </c>
      <c r="T224" s="1431"/>
      <c r="U224" s="475" t="s">
        <v>303</v>
      </c>
      <c r="V224" s="476" t="s">
        <v>527</v>
      </c>
      <c r="W224" s="477">
        <f t="shared" si="61"/>
        <v>365825</v>
      </c>
      <c r="X224" s="477">
        <f t="shared" si="59"/>
        <v>95290</v>
      </c>
      <c r="Y224" s="477">
        <f t="shared" si="59"/>
        <v>513643</v>
      </c>
      <c r="Z224" s="477">
        <f t="shared" si="59"/>
        <v>197074</v>
      </c>
      <c r="AA224" s="477">
        <f t="shared" si="59"/>
        <v>0</v>
      </c>
      <c r="AB224" s="477">
        <f t="shared" si="59"/>
        <v>0</v>
      </c>
      <c r="AC224" s="477">
        <f t="shared" si="59"/>
        <v>12463</v>
      </c>
      <c r="AD224" s="477">
        <f t="shared" si="59"/>
        <v>0</v>
      </c>
      <c r="AE224" s="477">
        <f t="shared" si="62"/>
        <v>5653</v>
      </c>
      <c r="AF224" s="477">
        <f t="shared" si="62"/>
        <v>11284</v>
      </c>
      <c r="AG224" s="477">
        <f>AG214-AG161</f>
        <v>0</v>
      </c>
      <c r="AH224" s="482">
        <f t="shared" si="63"/>
        <v>1004158</v>
      </c>
      <c r="AI224" s="759"/>
      <c r="AJ224" s="477"/>
    </row>
    <row r="225" spans="1:36" s="1275" customFormat="1" ht="12.75">
      <c r="A225" s="1431"/>
      <c r="B225" s="475" t="s">
        <v>337</v>
      </c>
      <c r="C225" s="476" t="s">
        <v>321</v>
      </c>
      <c r="D225" s="474">
        <f aca="true" t="shared" si="69" ref="D225:O225">D215-D162</f>
        <v>134082</v>
      </c>
      <c r="E225" s="474">
        <f t="shared" si="69"/>
        <v>75915</v>
      </c>
      <c r="F225" s="474">
        <f t="shared" si="69"/>
        <v>33016</v>
      </c>
      <c r="G225" s="474">
        <f t="shared" si="69"/>
        <v>0</v>
      </c>
      <c r="H225" s="474">
        <f t="shared" si="69"/>
        <v>1044</v>
      </c>
      <c r="I225" s="474">
        <f t="shared" si="69"/>
        <v>0</v>
      </c>
      <c r="J225" s="474">
        <f t="shared" si="69"/>
        <v>17679</v>
      </c>
      <c r="K225" s="474">
        <f t="shared" si="69"/>
        <v>0</v>
      </c>
      <c r="L225" s="474">
        <f t="shared" si="69"/>
        <v>17676</v>
      </c>
      <c r="M225" s="474">
        <f t="shared" si="69"/>
        <v>25993</v>
      </c>
      <c r="N225" s="474">
        <f t="shared" si="69"/>
        <v>8294</v>
      </c>
      <c r="O225" s="474">
        <f t="shared" si="69"/>
        <v>0</v>
      </c>
      <c r="P225" s="474">
        <v>0</v>
      </c>
      <c r="Q225" s="474">
        <f>Q215-Q162</f>
        <v>708723</v>
      </c>
      <c r="R225" s="474">
        <f>R215-R162</f>
        <v>237863</v>
      </c>
      <c r="S225" s="478">
        <v>946507</v>
      </c>
      <c r="T225" s="1431"/>
      <c r="U225" s="475" t="s">
        <v>303</v>
      </c>
      <c r="V225" s="476" t="s">
        <v>321</v>
      </c>
      <c r="W225" s="477">
        <f t="shared" si="61"/>
        <v>351779</v>
      </c>
      <c r="X225" s="477">
        <f aca="true" t="shared" si="70" ref="X225:AC225">X215-X162</f>
        <v>88930</v>
      </c>
      <c r="Y225" s="477">
        <f t="shared" si="70"/>
        <v>463586</v>
      </c>
      <c r="Z225" s="477">
        <f t="shared" si="70"/>
        <v>220539</v>
      </c>
      <c r="AA225" s="477">
        <f t="shared" si="70"/>
        <v>0</v>
      </c>
      <c r="AB225" s="477">
        <f t="shared" si="70"/>
        <v>0</v>
      </c>
      <c r="AC225" s="477">
        <f t="shared" si="70"/>
        <v>12463</v>
      </c>
      <c r="AD225" s="477">
        <v>0</v>
      </c>
      <c r="AE225" s="477">
        <f t="shared" si="62"/>
        <v>5179</v>
      </c>
      <c r="AF225" s="477">
        <f t="shared" si="62"/>
        <v>11046</v>
      </c>
      <c r="AG225" s="477">
        <f>AG215-AG162</f>
        <v>0</v>
      </c>
      <c r="AH225" s="482">
        <v>932983</v>
      </c>
      <c r="AI225" s="759"/>
      <c r="AJ225" s="477"/>
    </row>
    <row r="226" spans="1:36" s="1275" customFormat="1" ht="12.75">
      <c r="A226" s="1431" t="s">
        <v>338</v>
      </c>
      <c r="B226" s="475" t="s">
        <v>339</v>
      </c>
      <c r="C226" s="476" t="s">
        <v>873</v>
      </c>
      <c r="D226" s="1279">
        <f aca="true" t="shared" si="71" ref="D226:S226">D208-D218</f>
        <v>666</v>
      </c>
      <c r="E226" s="1279">
        <f t="shared" si="71"/>
        <v>0</v>
      </c>
      <c r="F226" s="1279">
        <f t="shared" si="71"/>
        <v>8180</v>
      </c>
      <c r="G226" s="1279">
        <f t="shared" si="71"/>
        <v>0</v>
      </c>
      <c r="H226" s="1279">
        <f t="shared" si="71"/>
        <v>0</v>
      </c>
      <c r="I226" s="1279">
        <f t="shared" si="71"/>
        <v>0</v>
      </c>
      <c r="J226" s="1279">
        <f t="shared" si="71"/>
        <v>0</v>
      </c>
      <c r="K226" s="1279">
        <f t="shared" si="71"/>
        <v>0</v>
      </c>
      <c r="L226" s="1279">
        <f t="shared" si="71"/>
        <v>0</v>
      </c>
      <c r="M226" s="1279">
        <f t="shared" si="71"/>
        <v>0</v>
      </c>
      <c r="N226" s="1279">
        <f t="shared" si="71"/>
        <v>0</v>
      </c>
      <c r="O226" s="1279">
        <f t="shared" si="71"/>
        <v>0</v>
      </c>
      <c r="P226" s="1279">
        <f t="shared" si="71"/>
        <v>0</v>
      </c>
      <c r="Q226" s="1279">
        <f t="shared" si="71"/>
        <v>23488</v>
      </c>
      <c r="R226" s="1279">
        <f t="shared" si="71"/>
        <v>8846</v>
      </c>
      <c r="S226" s="1280">
        <f t="shared" si="71"/>
        <v>32334</v>
      </c>
      <c r="T226" s="1431" t="s">
        <v>338</v>
      </c>
      <c r="U226" s="475" t="s">
        <v>339</v>
      </c>
      <c r="V226" s="476" t="s">
        <v>873</v>
      </c>
      <c r="W226" s="477">
        <f aca="true" t="shared" si="72" ref="W226:AJ233">W155</f>
        <v>17782</v>
      </c>
      <c r="X226" s="477">
        <f t="shared" si="72"/>
        <v>4738</v>
      </c>
      <c r="Y226" s="477">
        <f t="shared" si="72"/>
        <v>9814</v>
      </c>
      <c r="Z226" s="477">
        <f t="shared" si="72"/>
        <v>0</v>
      </c>
      <c r="AA226" s="477">
        <f t="shared" si="72"/>
        <v>0</v>
      </c>
      <c r="AB226" s="477">
        <f t="shared" si="72"/>
        <v>0</v>
      </c>
      <c r="AC226" s="477">
        <f t="shared" si="72"/>
        <v>0</v>
      </c>
      <c r="AD226" s="477">
        <f t="shared" si="72"/>
        <v>0</v>
      </c>
      <c r="AE226" s="477">
        <f t="shared" si="72"/>
        <v>0</v>
      </c>
      <c r="AF226" s="477">
        <f t="shared" si="72"/>
        <v>0</v>
      </c>
      <c r="AG226" s="477"/>
      <c r="AH226" s="482">
        <f t="shared" si="72"/>
        <v>32334</v>
      </c>
      <c r="AI226" s="759">
        <f t="shared" si="72"/>
        <v>0</v>
      </c>
      <c r="AJ226" s="477">
        <f t="shared" si="72"/>
        <v>32334</v>
      </c>
    </row>
    <row r="227" spans="1:36" s="1275" customFormat="1" ht="13.5" thickBot="1">
      <c r="A227" s="1431"/>
      <c r="B227" s="475" t="s">
        <v>339</v>
      </c>
      <c r="C227" s="476" t="s">
        <v>304</v>
      </c>
      <c r="D227" s="1279">
        <f aca="true" t="shared" si="73" ref="D227:S227">D209-D219</f>
        <v>666</v>
      </c>
      <c r="E227" s="1279">
        <f t="shared" si="73"/>
        <v>0</v>
      </c>
      <c r="F227" s="1279">
        <f t="shared" si="73"/>
        <v>8180</v>
      </c>
      <c r="G227" s="1279">
        <f t="shared" si="73"/>
        <v>0</v>
      </c>
      <c r="H227" s="1279">
        <f t="shared" si="73"/>
        <v>0</v>
      </c>
      <c r="I227" s="1279">
        <f t="shared" si="73"/>
        <v>0</v>
      </c>
      <c r="J227" s="1279">
        <f t="shared" si="73"/>
        <v>0</v>
      </c>
      <c r="K227" s="1279">
        <f t="shared" si="73"/>
        <v>0</v>
      </c>
      <c r="L227" s="1279">
        <f t="shared" si="73"/>
        <v>0</v>
      </c>
      <c r="M227" s="1279">
        <f t="shared" si="73"/>
        <v>0</v>
      </c>
      <c r="N227" s="1279">
        <f t="shared" si="73"/>
        <v>0</v>
      </c>
      <c r="O227" s="1279">
        <f t="shared" si="73"/>
        <v>0</v>
      </c>
      <c r="P227" s="1279">
        <f t="shared" si="73"/>
        <v>0</v>
      </c>
      <c r="Q227" s="1279">
        <f t="shared" si="73"/>
        <v>23488</v>
      </c>
      <c r="R227" s="1279">
        <f t="shared" si="73"/>
        <v>8846</v>
      </c>
      <c r="S227" s="1280">
        <f t="shared" si="73"/>
        <v>32334</v>
      </c>
      <c r="T227" s="1431"/>
      <c r="U227" s="475" t="s">
        <v>339</v>
      </c>
      <c r="V227" s="476" t="s">
        <v>304</v>
      </c>
      <c r="W227" s="477">
        <f t="shared" si="72"/>
        <v>17782</v>
      </c>
      <c r="X227" s="477">
        <f t="shared" si="72"/>
        <v>4738</v>
      </c>
      <c r="Y227" s="477">
        <f t="shared" si="72"/>
        <v>9814</v>
      </c>
      <c r="Z227" s="477">
        <f t="shared" si="72"/>
        <v>0</v>
      </c>
      <c r="AA227" s="477">
        <f t="shared" si="72"/>
        <v>0</v>
      </c>
      <c r="AB227" s="477">
        <f t="shared" si="72"/>
        <v>0</v>
      </c>
      <c r="AC227" s="477">
        <f t="shared" si="72"/>
        <v>0</v>
      </c>
      <c r="AD227" s="477">
        <f t="shared" si="72"/>
        <v>0</v>
      </c>
      <c r="AE227" s="477">
        <f t="shared" si="72"/>
        <v>0</v>
      </c>
      <c r="AF227" s="477">
        <f t="shared" si="72"/>
        <v>0</v>
      </c>
      <c r="AG227" s="477"/>
      <c r="AH227" s="482">
        <f t="shared" si="72"/>
        <v>32334</v>
      </c>
      <c r="AI227" s="760">
        <f t="shared" si="72"/>
        <v>0</v>
      </c>
      <c r="AJ227" s="761">
        <f t="shared" si="72"/>
        <v>32334</v>
      </c>
    </row>
    <row r="228" spans="1:34" s="1275" customFormat="1" ht="12.75">
      <c r="A228" s="1431"/>
      <c r="B228" s="475" t="s">
        <v>339</v>
      </c>
      <c r="C228" s="476" t="s">
        <v>305</v>
      </c>
      <c r="D228" s="1279">
        <f aca="true" t="shared" si="74" ref="D228:S228">D210-D220</f>
        <v>666</v>
      </c>
      <c r="E228" s="1279">
        <f t="shared" si="74"/>
        <v>0</v>
      </c>
      <c r="F228" s="1279">
        <f t="shared" si="74"/>
        <v>8180</v>
      </c>
      <c r="G228" s="1279">
        <f t="shared" si="74"/>
        <v>0</v>
      </c>
      <c r="H228" s="1279">
        <f t="shared" si="74"/>
        <v>0</v>
      </c>
      <c r="I228" s="1279">
        <f t="shared" si="74"/>
        <v>0</v>
      </c>
      <c r="J228" s="1279">
        <f t="shared" si="74"/>
        <v>0</v>
      </c>
      <c r="K228" s="1279">
        <f t="shared" si="74"/>
        <v>0</v>
      </c>
      <c r="L228" s="1279">
        <f t="shared" si="74"/>
        <v>0</v>
      </c>
      <c r="M228" s="1279">
        <f t="shared" si="74"/>
        <v>0</v>
      </c>
      <c r="N228" s="1279">
        <f t="shared" si="74"/>
        <v>19307</v>
      </c>
      <c r="O228" s="1279">
        <f t="shared" si="74"/>
        <v>0</v>
      </c>
      <c r="P228" s="1279">
        <f t="shared" si="74"/>
        <v>0</v>
      </c>
      <c r="Q228" s="1279">
        <f t="shared" si="74"/>
        <v>24739</v>
      </c>
      <c r="R228" s="1279">
        <f t="shared" si="74"/>
        <v>28153</v>
      </c>
      <c r="S228" s="1280">
        <f t="shared" si="74"/>
        <v>52892</v>
      </c>
      <c r="T228" s="1431"/>
      <c r="U228" s="475" t="s">
        <v>339</v>
      </c>
      <c r="V228" s="476" t="s">
        <v>305</v>
      </c>
      <c r="W228" s="477">
        <f t="shared" si="72"/>
        <v>19275</v>
      </c>
      <c r="X228" s="477">
        <f t="shared" si="72"/>
        <v>5141</v>
      </c>
      <c r="Y228" s="477">
        <f t="shared" si="72"/>
        <v>10800</v>
      </c>
      <c r="Z228" s="477">
        <f t="shared" si="72"/>
        <v>0</v>
      </c>
      <c r="AA228" s="477">
        <f t="shared" si="72"/>
        <v>0</v>
      </c>
      <c r="AB228" s="477">
        <f t="shared" si="72"/>
        <v>17676</v>
      </c>
      <c r="AC228" s="477">
        <f t="shared" si="72"/>
        <v>0</v>
      </c>
      <c r="AD228" s="477">
        <f t="shared" si="72"/>
        <v>0</v>
      </c>
      <c r="AE228" s="477">
        <f t="shared" si="72"/>
        <v>0</v>
      </c>
      <c r="AF228" s="477">
        <f t="shared" si="72"/>
        <v>0</v>
      </c>
      <c r="AG228" s="477"/>
      <c r="AH228" s="482">
        <f t="shared" si="72"/>
        <v>52892</v>
      </c>
    </row>
    <row r="229" spans="1:34" s="1275" customFormat="1" ht="12.75">
      <c r="A229" s="1431"/>
      <c r="B229" s="475" t="s">
        <v>339</v>
      </c>
      <c r="C229" s="476" t="s">
        <v>306</v>
      </c>
      <c r="D229" s="1279">
        <f aca="true" t="shared" si="75" ref="D229:S229">D211-D221</f>
        <v>666</v>
      </c>
      <c r="E229" s="1279">
        <f t="shared" si="75"/>
        <v>0</v>
      </c>
      <c r="F229" s="1279">
        <f t="shared" si="75"/>
        <v>8180</v>
      </c>
      <c r="G229" s="1279">
        <f t="shared" si="75"/>
        <v>0</v>
      </c>
      <c r="H229" s="1279">
        <f t="shared" si="75"/>
        <v>677</v>
      </c>
      <c r="I229" s="1279">
        <f t="shared" si="75"/>
        <v>0</v>
      </c>
      <c r="J229" s="1279">
        <f t="shared" si="75"/>
        <v>0</v>
      </c>
      <c r="K229" s="1279">
        <f t="shared" si="75"/>
        <v>0</v>
      </c>
      <c r="L229" s="1279">
        <f t="shared" si="75"/>
        <v>0</v>
      </c>
      <c r="M229" s="1279">
        <f t="shared" si="75"/>
        <v>0</v>
      </c>
      <c r="N229" s="1279">
        <f t="shared" si="75"/>
        <v>19307</v>
      </c>
      <c r="O229" s="1279">
        <f t="shared" si="75"/>
        <v>0</v>
      </c>
      <c r="P229" s="1279">
        <f t="shared" si="75"/>
        <v>0</v>
      </c>
      <c r="Q229" s="1279">
        <f t="shared" si="75"/>
        <v>27708</v>
      </c>
      <c r="R229" s="1279">
        <f t="shared" si="75"/>
        <v>28830</v>
      </c>
      <c r="S229" s="1280">
        <f t="shared" si="75"/>
        <v>56538</v>
      </c>
      <c r="T229" s="1431"/>
      <c r="U229" s="475" t="s">
        <v>339</v>
      </c>
      <c r="V229" s="476" t="s">
        <v>306</v>
      </c>
      <c r="W229" s="477">
        <f t="shared" si="72"/>
        <v>20108</v>
      </c>
      <c r="X229" s="477">
        <f t="shared" si="72"/>
        <v>5354</v>
      </c>
      <c r="Y229" s="477">
        <f t="shared" si="72"/>
        <v>10800</v>
      </c>
      <c r="Z229" s="477">
        <f t="shared" si="72"/>
        <v>0</v>
      </c>
      <c r="AA229" s="477">
        <f t="shared" si="72"/>
        <v>0</v>
      </c>
      <c r="AB229" s="477">
        <f t="shared" si="72"/>
        <v>17676</v>
      </c>
      <c r="AC229" s="477">
        <f t="shared" si="72"/>
        <v>0</v>
      </c>
      <c r="AD229" s="477">
        <f>AD158</f>
        <v>0</v>
      </c>
      <c r="AE229" s="477">
        <f t="shared" si="72"/>
        <v>2600</v>
      </c>
      <c r="AF229" s="477">
        <f t="shared" si="72"/>
        <v>0</v>
      </c>
      <c r="AG229" s="477">
        <f t="shared" si="72"/>
        <v>0</v>
      </c>
      <c r="AH229" s="482">
        <f t="shared" si="72"/>
        <v>56538</v>
      </c>
    </row>
    <row r="230" spans="1:34" s="1275" customFormat="1" ht="12.75">
      <c r="A230" s="1431"/>
      <c r="B230" s="475" t="s">
        <v>339</v>
      </c>
      <c r="C230" s="476" t="s">
        <v>307</v>
      </c>
      <c r="D230" s="1279">
        <f aca="true" t="shared" si="76" ref="D230:S230">D212-D222</f>
        <v>666</v>
      </c>
      <c r="E230" s="1279">
        <f t="shared" si="76"/>
        <v>0</v>
      </c>
      <c r="F230" s="1279">
        <f t="shared" si="76"/>
        <v>9301</v>
      </c>
      <c r="G230" s="1279">
        <f t="shared" si="76"/>
        <v>0</v>
      </c>
      <c r="H230" s="1279">
        <f t="shared" si="76"/>
        <v>677</v>
      </c>
      <c r="I230" s="1279">
        <f t="shared" si="76"/>
        <v>0</v>
      </c>
      <c r="J230" s="1279">
        <f t="shared" si="76"/>
        <v>0</v>
      </c>
      <c r="K230" s="1279">
        <f t="shared" si="76"/>
        <v>0</v>
      </c>
      <c r="L230" s="1279">
        <f t="shared" si="76"/>
        <v>0</v>
      </c>
      <c r="M230" s="1279">
        <f t="shared" si="76"/>
        <v>0</v>
      </c>
      <c r="N230" s="1279">
        <f t="shared" si="76"/>
        <v>19307</v>
      </c>
      <c r="O230" s="1279">
        <f t="shared" si="76"/>
        <v>0</v>
      </c>
      <c r="P230" s="1279">
        <f t="shared" si="76"/>
        <v>0</v>
      </c>
      <c r="Q230" s="1279">
        <f t="shared" si="76"/>
        <v>25936</v>
      </c>
      <c r="R230" s="1279">
        <f t="shared" si="76"/>
        <v>29951</v>
      </c>
      <c r="S230" s="1280">
        <f t="shared" si="76"/>
        <v>55887</v>
      </c>
      <c r="T230" s="1431"/>
      <c r="U230" s="475" t="s">
        <v>339</v>
      </c>
      <c r="V230" s="476" t="s">
        <v>307</v>
      </c>
      <c r="W230" s="477">
        <f t="shared" si="72"/>
        <v>20454</v>
      </c>
      <c r="X230" s="477">
        <f t="shared" si="72"/>
        <v>5446</v>
      </c>
      <c r="Y230" s="477">
        <f t="shared" si="72"/>
        <v>12311</v>
      </c>
      <c r="Z230" s="477">
        <f t="shared" si="72"/>
        <v>0</v>
      </c>
      <c r="AA230" s="477">
        <f t="shared" si="72"/>
        <v>0</v>
      </c>
      <c r="AB230" s="477">
        <f t="shared" si="72"/>
        <v>17676</v>
      </c>
      <c r="AC230" s="477">
        <f t="shared" si="72"/>
        <v>0</v>
      </c>
      <c r="AD230" s="477">
        <f>AD159</f>
        <v>0</v>
      </c>
      <c r="AE230" s="477">
        <f t="shared" si="72"/>
        <v>0</v>
      </c>
      <c r="AF230" s="477">
        <f t="shared" si="72"/>
        <v>0</v>
      </c>
      <c r="AG230" s="477">
        <f t="shared" si="72"/>
        <v>0</v>
      </c>
      <c r="AH230" s="482">
        <f t="shared" si="72"/>
        <v>55887</v>
      </c>
    </row>
    <row r="231" spans="1:34" s="1275" customFormat="1" ht="12.75">
      <c r="A231" s="1431"/>
      <c r="B231" s="475" t="s">
        <v>339</v>
      </c>
      <c r="C231" s="476" t="s">
        <v>308</v>
      </c>
      <c r="D231" s="1279">
        <f aca="true" t="shared" si="77" ref="D231:S231">D213-D223</f>
        <v>655</v>
      </c>
      <c r="E231" s="1279">
        <f t="shared" si="77"/>
        <v>0</v>
      </c>
      <c r="F231" s="1279">
        <f t="shared" si="77"/>
        <v>11055</v>
      </c>
      <c r="G231" s="1279">
        <f t="shared" si="77"/>
        <v>0</v>
      </c>
      <c r="H231" s="1279">
        <f t="shared" si="77"/>
        <v>677</v>
      </c>
      <c r="I231" s="1279">
        <f t="shared" si="77"/>
        <v>0</v>
      </c>
      <c r="J231" s="1279">
        <f t="shared" si="77"/>
        <v>11697</v>
      </c>
      <c r="K231" s="1279">
        <f t="shared" si="77"/>
        <v>0</v>
      </c>
      <c r="L231" s="1279">
        <f t="shared" si="77"/>
        <v>0</v>
      </c>
      <c r="M231" s="1279">
        <f t="shared" si="77"/>
        <v>0</v>
      </c>
      <c r="N231" s="1279">
        <f t="shared" si="77"/>
        <v>19307</v>
      </c>
      <c r="O231" s="1279">
        <f t="shared" si="77"/>
        <v>0</v>
      </c>
      <c r="P231" s="1279">
        <f t="shared" si="77"/>
        <v>0</v>
      </c>
      <c r="Q231" s="1279">
        <f t="shared" si="77"/>
        <v>14175</v>
      </c>
      <c r="R231" s="1279">
        <f t="shared" si="77"/>
        <v>42524</v>
      </c>
      <c r="S231" s="1280">
        <f t="shared" si="77"/>
        <v>56699</v>
      </c>
      <c r="T231" s="1431"/>
      <c r="U231" s="475" t="s">
        <v>339</v>
      </c>
      <c r="V231" s="476" t="s">
        <v>308</v>
      </c>
      <c r="W231" s="477">
        <f t="shared" si="72"/>
        <v>19725</v>
      </c>
      <c r="X231" s="477">
        <f t="shared" si="72"/>
        <v>5233</v>
      </c>
      <c r="Y231" s="477">
        <f t="shared" si="72"/>
        <v>14065</v>
      </c>
      <c r="Z231" s="477">
        <f t="shared" si="72"/>
        <v>0</v>
      </c>
      <c r="AA231" s="477">
        <f t="shared" si="72"/>
        <v>0</v>
      </c>
      <c r="AB231" s="477">
        <f t="shared" si="72"/>
        <v>17676</v>
      </c>
      <c r="AC231" s="477">
        <f t="shared" si="72"/>
        <v>0</v>
      </c>
      <c r="AD231" s="477">
        <f t="shared" si="72"/>
        <v>0</v>
      </c>
      <c r="AE231" s="477">
        <f t="shared" si="72"/>
        <v>0</v>
      </c>
      <c r="AF231" s="477">
        <f t="shared" si="72"/>
        <v>0</v>
      </c>
      <c r="AG231" s="477">
        <f t="shared" si="72"/>
        <v>0</v>
      </c>
      <c r="AH231" s="482">
        <f t="shared" si="72"/>
        <v>56699</v>
      </c>
    </row>
    <row r="232" spans="1:34" s="1275" customFormat="1" ht="12.75">
      <c r="A232" s="1431"/>
      <c r="B232" s="475" t="s">
        <v>339</v>
      </c>
      <c r="C232" s="476" t="s">
        <v>527</v>
      </c>
      <c r="D232" s="1279">
        <f aca="true" t="shared" si="78" ref="D232:S232">D214-D224</f>
        <v>655</v>
      </c>
      <c r="E232" s="1279">
        <f t="shared" si="78"/>
        <v>0</v>
      </c>
      <c r="F232" s="1279">
        <f t="shared" si="78"/>
        <v>11055</v>
      </c>
      <c r="G232" s="1279">
        <f t="shared" si="78"/>
        <v>0</v>
      </c>
      <c r="H232" s="1279">
        <f t="shared" si="78"/>
        <v>677</v>
      </c>
      <c r="I232" s="1279">
        <f t="shared" si="78"/>
        <v>0</v>
      </c>
      <c r="J232" s="1279">
        <f t="shared" si="78"/>
        <v>11697</v>
      </c>
      <c r="K232" s="1279">
        <f t="shared" si="78"/>
        <v>0</v>
      </c>
      <c r="L232" s="1279">
        <f t="shared" si="78"/>
        <v>0</v>
      </c>
      <c r="M232" s="1279">
        <f t="shared" si="78"/>
        <v>0</v>
      </c>
      <c r="N232" s="1279">
        <f t="shared" si="78"/>
        <v>19307</v>
      </c>
      <c r="O232" s="1279">
        <f t="shared" si="78"/>
        <v>0</v>
      </c>
      <c r="P232" s="1279">
        <f t="shared" si="78"/>
        <v>0</v>
      </c>
      <c r="Q232" s="1279">
        <f t="shared" si="78"/>
        <v>13656</v>
      </c>
      <c r="R232" s="1279">
        <f t="shared" si="78"/>
        <v>43391</v>
      </c>
      <c r="S232" s="1280">
        <f t="shared" si="78"/>
        <v>57047</v>
      </c>
      <c r="T232" s="1431"/>
      <c r="U232" s="475" t="s">
        <v>339</v>
      </c>
      <c r="V232" s="476" t="s">
        <v>527</v>
      </c>
      <c r="W232" s="477">
        <f t="shared" si="72"/>
        <v>19999</v>
      </c>
      <c r="X232" s="477">
        <f t="shared" si="72"/>
        <v>5307</v>
      </c>
      <c r="Y232" s="477">
        <f t="shared" si="72"/>
        <v>14065</v>
      </c>
      <c r="Z232" s="477">
        <f t="shared" si="72"/>
        <v>0</v>
      </c>
      <c r="AA232" s="477">
        <f t="shared" si="72"/>
        <v>0</v>
      </c>
      <c r="AB232" s="477">
        <f t="shared" si="72"/>
        <v>17676</v>
      </c>
      <c r="AC232" s="477">
        <f t="shared" si="72"/>
        <v>0</v>
      </c>
      <c r="AD232" s="477">
        <f t="shared" si="72"/>
        <v>0</v>
      </c>
      <c r="AE232" s="477">
        <f t="shared" si="72"/>
        <v>0</v>
      </c>
      <c r="AF232" s="477">
        <f t="shared" si="72"/>
        <v>0</v>
      </c>
      <c r="AG232" s="477">
        <f t="shared" si="72"/>
        <v>0</v>
      </c>
      <c r="AH232" s="482">
        <f t="shared" si="72"/>
        <v>57047</v>
      </c>
    </row>
    <row r="233" spans="1:34" s="1275" customFormat="1" ht="12.75">
      <c r="A233" s="1431"/>
      <c r="B233" s="475" t="s">
        <v>339</v>
      </c>
      <c r="C233" s="476" t="s">
        <v>321</v>
      </c>
      <c r="D233" s="1279">
        <f aca="true" t="shared" si="79" ref="D233:R233">D215-D225</f>
        <v>907</v>
      </c>
      <c r="E233" s="1279">
        <f t="shared" si="79"/>
        <v>0</v>
      </c>
      <c r="F233" s="1279">
        <f t="shared" si="79"/>
        <v>11065</v>
      </c>
      <c r="G233" s="1279">
        <f t="shared" si="79"/>
        <v>0</v>
      </c>
      <c r="H233" s="1279">
        <f t="shared" si="79"/>
        <v>677</v>
      </c>
      <c r="I233" s="1279">
        <f t="shared" si="79"/>
        <v>0</v>
      </c>
      <c r="J233" s="1279">
        <f t="shared" si="79"/>
        <v>27783</v>
      </c>
      <c r="K233" s="1279">
        <f t="shared" si="79"/>
        <v>0</v>
      </c>
      <c r="L233" s="1279">
        <f t="shared" si="79"/>
        <v>0</v>
      </c>
      <c r="M233" s="1279">
        <f t="shared" si="79"/>
        <v>0</v>
      </c>
      <c r="N233" s="1279">
        <f t="shared" si="79"/>
        <v>19307</v>
      </c>
      <c r="O233" s="1279">
        <f t="shared" si="79"/>
        <v>0</v>
      </c>
      <c r="P233" s="1279">
        <f t="shared" si="79"/>
        <v>0</v>
      </c>
      <c r="Q233" s="1279">
        <f t="shared" si="79"/>
        <v>38483</v>
      </c>
      <c r="R233" s="1279">
        <f t="shared" si="79"/>
        <v>59726</v>
      </c>
      <c r="S233" s="1280">
        <v>98222</v>
      </c>
      <c r="T233" s="1431"/>
      <c r="U233" s="475" t="s">
        <v>339</v>
      </c>
      <c r="V233" s="476" t="s">
        <v>321</v>
      </c>
      <c r="W233" s="477">
        <f>W162</f>
        <v>18862</v>
      </c>
      <c r="X233" s="477">
        <f t="shared" si="72"/>
        <v>4061</v>
      </c>
      <c r="Y233" s="477">
        <f t="shared" si="72"/>
        <v>10548</v>
      </c>
      <c r="Z233" s="477">
        <f t="shared" si="72"/>
        <v>0</v>
      </c>
      <c r="AA233" s="477">
        <f t="shared" si="72"/>
        <v>0</v>
      </c>
      <c r="AB233" s="477">
        <f t="shared" si="72"/>
        <v>17676</v>
      </c>
      <c r="AC233" s="477">
        <f t="shared" si="72"/>
        <v>0</v>
      </c>
      <c r="AD233" s="477">
        <v>0</v>
      </c>
      <c r="AE233" s="477">
        <f t="shared" si="72"/>
        <v>0</v>
      </c>
      <c r="AF233" s="477">
        <f t="shared" si="72"/>
        <v>0</v>
      </c>
      <c r="AG233" s="477">
        <f t="shared" si="72"/>
        <v>0</v>
      </c>
      <c r="AH233" s="482">
        <v>51147</v>
      </c>
    </row>
    <row r="234" spans="1:36" ht="12" customHeight="1" thickBot="1">
      <c r="A234" s="1281" t="s">
        <v>1252</v>
      </c>
      <c r="B234" s="762"/>
      <c r="C234" s="763" t="s">
        <v>321</v>
      </c>
      <c r="D234" s="1282"/>
      <c r="E234" s="1282"/>
      <c r="F234" s="1282"/>
      <c r="G234" s="1282"/>
      <c r="H234" s="1282"/>
      <c r="I234" s="1282"/>
      <c r="J234" s="1282"/>
      <c r="K234" s="1282"/>
      <c r="L234" s="1282"/>
      <c r="M234" s="1282"/>
      <c r="N234" s="1282"/>
      <c r="O234" s="1282"/>
      <c r="P234" s="1282">
        <v>66</v>
      </c>
      <c r="Q234" s="1282"/>
      <c r="R234" s="1282"/>
      <c r="S234" s="1283">
        <v>66</v>
      </c>
      <c r="T234" s="1281" t="s">
        <v>1252</v>
      </c>
      <c r="U234" s="762"/>
      <c r="V234" s="763" t="s">
        <v>321</v>
      </c>
      <c r="W234" s="1282"/>
      <c r="X234" s="1282"/>
      <c r="Y234" s="1282"/>
      <c r="Z234" s="1282"/>
      <c r="AA234" s="1282"/>
      <c r="AB234" s="1282"/>
      <c r="AC234" s="1282"/>
      <c r="AD234" s="1282">
        <v>-761</v>
      </c>
      <c r="AE234" s="1282"/>
      <c r="AF234" s="1282"/>
      <c r="AG234" s="1282"/>
      <c r="AH234" s="1283">
        <v>-761</v>
      </c>
      <c r="AI234" s="1284">
        <f>AI212-AI211</f>
        <v>0</v>
      </c>
      <c r="AJ234" s="1284">
        <f>AJ212-AJ211</f>
        <v>0</v>
      </c>
    </row>
    <row r="235" spans="1:34" ht="21.75" customHeight="1">
      <c r="A235" s="1285"/>
      <c r="B235" s="764"/>
      <c r="C235" s="765"/>
      <c r="D235" s="1284"/>
      <c r="E235" s="1284"/>
      <c r="F235" s="1284"/>
      <c r="G235" s="1284"/>
      <c r="H235" s="1284"/>
      <c r="I235" s="1284"/>
      <c r="J235" s="1284"/>
      <c r="K235" s="1284"/>
      <c r="L235" s="1284"/>
      <c r="M235" s="1284"/>
      <c r="N235" s="1284"/>
      <c r="O235" s="1284"/>
      <c r="P235" s="1284"/>
      <c r="Q235" s="1284"/>
      <c r="R235" s="1284"/>
      <c r="S235" s="1284"/>
      <c r="T235" s="1285"/>
      <c r="U235" s="764"/>
      <c r="V235" s="765"/>
      <c r="W235" s="766"/>
      <c r="X235" s="766"/>
      <c r="Y235" s="766"/>
      <c r="Z235" s="766"/>
      <c r="AA235" s="766"/>
      <c r="AB235" s="766"/>
      <c r="AC235" s="766"/>
      <c r="AD235" s="766"/>
      <c r="AE235" s="766"/>
      <c r="AF235" s="766"/>
      <c r="AG235" s="766"/>
      <c r="AH235" s="766"/>
    </row>
    <row r="236" spans="1:34" ht="29.25" customHeight="1">
      <c r="A236" s="1285"/>
      <c r="B236" s="764"/>
      <c r="C236" s="765"/>
      <c r="D236" s="1284"/>
      <c r="E236" s="1284"/>
      <c r="F236" s="1284"/>
      <c r="G236" s="1284"/>
      <c r="H236" s="1284"/>
      <c r="I236" s="1284"/>
      <c r="J236" s="1284"/>
      <c r="K236" s="1284"/>
      <c r="L236" s="1284"/>
      <c r="M236" s="1284"/>
      <c r="N236" s="1284"/>
      <c r="O236" s="1284"/>
      <c r="P236" s="1284"/>
      <c r="Q236" s="1284"/>
      <c r="R236" s="1284"/>
      <c r="S236" s="1284"/>
      <c r="T236" s="1285"/>
      <c r="U236" s="764"/>
      <c r="V236" s="765"/>
      <c r="W236" s="766"/>
      <c r="X236" s="766"/>
      <c r="Y236" s="766"/>
      <c r="Z236" s="766"/>
      <c r="AA236" s="766"/>
      <c r="AB236" s="766"/>
      <c r="AC236" s="766"/>
      <c r="AD236" s="766"/>
      <c r="AE236" s="766"/>
      <c r="AF236" s="766"/>
      <c r="AG236" s="766"/>
      <c r="AH236" s="766"/>
    </row>
    <row r="237" spans="1:34" ht="30.75" customHeight="1">
      <c r="A237" s="1285"/>
      <c r="B237" s="764"/>
      <c r="C237" s="765"/>
      <c r="D237" s="1284"/>
      <c r="E237" s="1284"/>
      <c r="F237" s="1284"/>
      <c r="G237" s="1284"/>
      <c r="H237" s="1284"/>
      <c r="I237" s="1284"/>
      <c r="J237" s="1284"/>
      <c r="K237" s="1284"/>
      <c r="L237" s="1284"/>
      <c r="M237" s="1284"/>
      <c r="N237" s="1284"/>
      <c r="O237" s="1284"/>
      <c r="P237" s="1284"/>
      <c r="Q237" s="1284"/>
      <c r="R237" s="1284"/>
      <c r="S237" s="1284"/>
      <c r="T237" s="1285"/>
      <c r="U237" s="764"/>
      <c r="V237" s="765"/>
      <c r="W237" s="766"/>
      <c r="X237" s="766"/>
      <c r="Y237" s="766"/>
      <c r="Z237" s="766"/>
      <c r="AA237" s="766"/>
      <c r="AB237" s="766"/>
      <c r="AC237" s="766"/>
      <c r="AD237" s="766"/>
      <c r="AE237" s="766"/>
      <c r="AF237" s="766"/>
      <c r="AG237" s="766"/>
      <c r="AH237" s="766"/>
    </row>
    <row r="238" spans="1:34" ht="27" customHeight="1">
      <c r="A238" s="1285"/>
      <c r="B238" s="764"/>
      <c r="C238" s="765"/>
      <c r="D238" s="1284"/>
      <c r="E238" s="1284"/>
      <c r="F238" s="1284"/>
      <c r="G238" s="1284"/>
      <c r="H238" s="1284"/>
      <c r="I238" s="1284"/>
      <c r="J238" s="1284"/>
      <c r="K238" s="1284"/>
      <c r="L238" s="1284"/>
      <c r="M238" s="1284"/>
      <c r="N238" s="1284"/>
      <c r="O238" s="1284"/>
      <c r="P238" s="1284"/>
      <c r="Q238" s="1284"/>
      <c r="R238" s="1284"/>
      <c r="S238" s="1284"/>
      <c r="T238" s="1285"/>
      <c r="U238" s="764"/>
      <c r="V238" s="765"/>
      <c r="W238" s="766"/>
      <c r="X238" s="766"/>
      <c r="Y238" s="766"/>
      <c r="Z238" s="766"/>
      <c r="AA238" s="766"/>
      <c r="AB238" s="766"/>
      <c r="AC238" s="766"/>
      <c r="AD238" s="766"/>
      <c r="AE238" s="766"/>
      <c r="AF238" s="766"/>
      <c r="AG238" s="766"/>
      <c r="AH238" s="766"/>
    </row>
    <row r="239" spans="1:34" ht="32.25" customHeight="1">
      <c r="A239" s="1285"/>
      <c r="B239" s="764"/>
      <c r="C239" s="765"/>
      <c r="D239" s="1284"/>
      <c r="E239" s="1284"/>
      <c r="F239" s="1284"/>
      <c r="G239" s="1284"/>
      <c r="H239" s="1284"/>
      <c r="I239" s="1284"/>
      <c r="J239" s="1284"/>
      <c r="K239" s="1284"/>
      <c r="L239" s="1284"/>
      <c r="M239" s="1284"/>
      <c r="N239" s="1284"/>
      <c r="O239" s="1284"/>
      <c r="P239" s="1284"/>
      <c r="Q239" s="1284"/>
      <c r="R239" s="1284"/>
      <c r="S239" s="1284"/>
      <c r="T239" s="1285"/>
      <c r="U239" s="764"/>
      <c r="V239" s="765"/>
      <c r="W239" s="766"/>
      <c r="X239" s="766"/>
      <c r="Y239" s="766"/>
      <c r="Z239" s="766"/>
      <c r="AA239" s="766"/>
      <c r="AB239" s="766"/>
      <c r="AC239" s="766"/>
      <c r="AD239" s="766"/>
      <c r="AE239" s="766"/>
      <c r="AF239" s="766"/>
      <c r="AG239" s="766"/>
      <c r="AH239" s="766"/>
    </row>
    <row r="240" spans="1:34" ht="24.75" customHeight="1">
      <c r="A240" s="1285"/>
      <c r="B240" s="764"/>
      <c r="C240" s="765"/>
      <c r="D240" s="1284"/>
      <c r="E240" s="1284"/>
      <c r="F240" s="1284"/>
      <c r="G240" s="1284"/>
      <c r="H240" s="1284"/>
      <c r="I240" s="1284"/>
      <c r="J240" s="1284"/>
      <c r="K240" s="1284"/>
      <c r="L240" s="1284"/>
      <c r="M240" s="1284"/>
      <c r="N240" s="1284"/>
      <c r="O240" s="1284"/>
      <c r="P240" s="1284"/>
      <c r="Q240" s="1284"/>
      <c r="R240" s="1284"/>
      <c r="S240" s="1284"/>
      <c r="T240" s="1285"/>
      <c r="U240" s="764"/>
      <c r="V240" s="765"/>
      <c r="W240" s="766"/>
      <c r="X240" s="766"/>
      <c r="Y240" s="766"/>
      <c r="Z240" s="766"/>
      <c r="AA240" s="766"/>
      <c r="AB240" s="766"/>
      <c r="AC240" s="766"/>
      <c r="AD240" s="766"/>
      <c r="AE240" s="766"/>
      <c r="AF240" s="766"/>
      <c r="AG240" s="766"/>
      <c r="AH240" s="766"/>
    </row>
    <row r="241" spans="1:34" ht="12.75">
      <c r="A241" s="1285"/>
      <c r="B241" s="764"/>
      <c r="C241" s="765"/>
      <c r="D241" s="1284"/>
      <c r="E241" s="1284"/>
      <c r="F241" s="1284"/>
      <c r="G241" s="1284"/>
      <c r="H241" s="1284"/>
      <c r="I241" s="1284"/>
      <c r="J241" s="1284"/>
      <c r="K241" s="1284"/>
      <c r="L241" s="1284"/>
      <c r="M241" s="1284"/>
      <c r="N241" s="1284"/>
      <c r="O241" s="1284"/>
      <c r="P241" s="1284"/>
      <c r="Q241" s="1284"/>
      <c r="R241" s="1284"/>
      <c r="S241" s="1284"/>
      <c r="T241" s="1285"/>
      <c r="U241" s="764"/>
      <c r="V241" s="765"/>
      <c r="W241" s="766"/>
      <c r="X241" s="766"/>
      <c r="Y241" s="766"/>
      <c r="Z241" s="766"/>
      <c r="AA241" s="766"/>
      <c r="AB241" s="766"/>
      <c r="AC241" s="766"/>
      <c r="AD241" s="766"/>
      <c r="AE241" s="766"/>
      <c r="AF241" s="766"/>
      <c r="AG241" s="766"/>
      <c r="AH241" s="766"/>
    </row>
    <row r="242" spans="1:34" ht="12.75">
      <c r="A242" s="1285"/>
      <c r="B242" s="764"/>
      <c r="C242" s="765"/>
      <c r="D242" s="1284"/>
      <c r="E242" s="1284"/>
      <c r="F242" s="1284"/>
      <c r="G242" s="1284"/>
      <c r="H242" s="1284"/>
      <c r="I242" s="1284"/>
      <c r="J242" s="1284"/>
      <c r="K242" s="1284"/>
      <c r="L242" s="1284"/>
      <c r="M242" s="1284"/>
      <c r="N242" s="1284"/>
      <c r="O242" s="1284"/>
      <c r="P242" s="1284"/>
      <c r="Q242" s="1284"/>
      <c r="R242" s="1284"/>
      <c r="S242" s="1284"/>
      <c r="T242" s="1285"/>
      <c r="U242" s="764"/>
      <c r="V242" s="765"/>
      <c r="W242" s="766"/>
      <c r="X242" s="766"/>
      <c r="Y242" s="766"/>
      <c r="Z242" s="766"/>
      <c r="AA242" s="766"/>
      <c r="AB242" s="766"/>
      <c r="AC242" s="766"/>
      <c r="AD242" s="766"/>
      <c r="AE242" s="766"/>
      <c r="AF242" s="766"/>
      <c r="AG242" s="766"/>
      <c r="AH242" s="766"/>
    </row>
    <row r="243" spans="1:34" ht="12.75">
      <c r="A243" s="1285"/>
      <c r="B243" s="764"/>
      <c r="C243" s="765"/>
      <c r="D243" s="1284"/>
      <c r="E243" s="1284"/>
      <c r="F243" s="1284"/>
      <c r="G243" s="1284"/>
      <c r="H243" s="1284"/>
      <c r="I243" s="1284"/>
      <c r="J243" s="1284"/>
      <c r="K243" s="1284"/>
      <c r="L243" s="1284"/>
      <c r="M243" s="1284"/>
      <c r="N243" s="1284"/>
      <c r="O243" s="1284"/>
      <c r="P243" s="1284"/>
      <c r="Q243" s="1284"/>
      <c r="R243" s="1284"/>
      <c r="S243" s="1284"/>
      <c r="T243" s="1285"/>
      <c r="U243" s="764"/>
      <c r="V243" s="765"/>
      <c r="W243" s="766"/>
      <c r="X243" s="766"/>
      <c r="Y243" s="766"/>
      <c r="Z243" s="766"/>
      <c r="AA243" s="766"/>
      <c r="AB243" s="766"/>
      <c r="AC243" s="766"/>
      <c r="AD243" s="766"/>
      <c r="AE243" s="766"/>
      <c r="AF243" s="766"/>
      <c r="AG243" s="766"/>
      <c r="AH243" s="766"/>
    </row>
    <row r="244" spans="1:34" ht="12.75">
      <c r="A244" s="1285"/>
      <c r="B244" s="764"/>
      <c r="C244" s="765"/>
      <c r="D244" s="1284"/>
      <c r="E244" s="1284"/>
      <c r="F244" s="1284"/>
      <c r="G244" s="1284"/>
      <c r="H244" s="1284"/>
      <c r="I244" s="1284"/>
      <c r="J244" s="1284"/>
      <c r="K244" s="1284"/>
      <c r="L244" s="1284"/>
      <c r="M244" s="1284"/>
      <c r="N244" s="1284"/>
      <c r="O244" s="1284"/>
      <c r="P244" s="1284"/>
      <c r="Q244" s="1284"/>
      <c r="R244" s="1284"/>
      <c r="S244" s="1284"/>
      <c r="T244" s="1285"/>
      <c r="U244" s="764"/>
      <c r="V244" s="765"/>
      <c r="W244" s="766"/>
      <c r="X244" s="766"/>
      <c r="Y244" s="766"/>
      <c r="Z244" s="766"/>
      <c r="AA244" s="766"/>
      <c r="AB244" s="766"/>
      <c r="AC244" s="766"/>
      <c r="AD244" s="766"/>
      <c r="AE244" s="766"/>
      <c r="AF244" s="766"/>
      <c r="AG244" s="766"/>
      <c r="AH244" s="766"/>
    </row>
    <row r="245" spans="1:34" ht="12.75">
      <c r="A245" s="1285"/>
      <c r="B245" s="764"/>
      <c r="C245" s="765"/>
      <c r="D245" s="1284"/>
      <c r="E245" s="1284"/>
      <c r="F245" s="1284"/>
      <c r="G245" s="1284"/>
      <c r="H245" s="1284"/>
      <c r="I245" s="1284"/>
      <c r="J245" s="1284"/>
      <c r="K245" s="1284"/>
      <c r="L245" s="1284"/>
      <c r="M245" s="1284"/>
      <c r="N245" s="1284"/>
      <c r="O245" s="1284"/>
      <c r="P245" s="1284"/>
      <c r="Q245" s="1284"/>
      <c r="R245" s="1284"/>
      <c r="S245" s="1284"/>
      <c r="T245" s="1285"/>
      <c r="U245" s="764"/>
      <c r="V245" s="765"/>
      <c r="W245" s="766"/>
      <c r="X245" s="766"/>
      <c r="Y245" s="766"/>
      <c r="Z245" s="766"/>
      <c r="AA245" s="766"/>
      <c r="AB245" s="766"/>
      <c r="AC245" s="766"/>
      <c r="AD245" s="766"/>
      <c r="AE245" s="766"/>
      <c r="AF245" s="766"/>
      <c r="AG245" s="766"/>
      <c r="AH245" s="766"/>
    </row>
    <row r="246" spans="1:34" ht="12.75">
      <c r="A246" s="1285"/>
      <c r="B246" s="764"/>
      <c r="C246" s="765"/>
      <c r="D246" s="1284"/>
      <c r="E246" s="1284"/>
      <c r="F246" s="1284"/>
      <c r="G246" s="1284"/>
      <c r="H246" s="1284"/>
      <c r="I246" s="1284"/>
      <c r="J246" s="1284"/>
      <c r="K246" s="1284"/>
      <c r="L246" s="1284"/>
      <c r="M246" s="1284"/>
      <c r="N246" s="1284"/>
      <c r="O246" s="1284"/>
      <c r="P246" s="1284"/>
      <c r="Q246" s="1284"/>
      <c r="R246" s="1284"/>
      <c r="S246" s="1284"/>
      <c r="T246" s="1285"/>
      <c r="U246" s="764"/>
      <c r="V246" s="765"/>
      <c r="W246" s="766"/>
      <c r="X246" s="766"/>
      <c r="Y246" s="766"/>
      <c r="Z246" s="766"/>
      <c r="AA246" s="766"/>
      <c r="AB246" s="766"/>
      <c r="AC246" s="766"/>
      <c r="AD246" s="766"/>
      <c r="AE246" s="766"/>
      <c r="AF246" s="766"/>
      <c r="AG246" s="766"/>
      <c r="AH246" s="766"/>
    </row>
    <row r="247" spans="1:34" ht="12.75">
      <c r="A247" s="1285"/>
      <c r="B247" s="764"/>
      <c r="C247" s="765"/>
      <c r="D247" s="1284"/>
      <c r="E247" s="1284"/>
      <c r="F247" s="1284"/>
      <c r="G247" s="1284"/>
      <c r="H247" s="1284"/>
      <c r="I247" s="1284"/>
      <c r="J247" s="1284"/>
      <c r="K247" s="1284"/>
      <c r="L247" s="1284"/>
      <c r="M247" s="1284"/>
      <c r="N247" s="1284"/>
      <c r="O247" s="1284"/>
      <c r="P247" s="1284"/>
      <c r="Q247" s="1284"/>
      <c r="R247" s="1284"/>
      <c r="S247" s="1284"/>
      <c r="T247" s="1285"/>
      <c r="U247" s="764"/>
      <c r="V247" s="765"/>
      <c r="W247" s="766"/>
      <c r="X247" s="766"/>
      <c r="Y247" s="766"/>
      <c r="Z247" s="766"/>
      <c r="AA247" s="766"/>
      <c r="AB247" s="766"/>
      <c r="AC247" s="766"/>
      <c r="AD247" s="766"/>
      <c r="AE247" s="766"/>
      <c r="AF247" s="766"/>
      <c r="AG247" s="766"/>
      <c r="AH247" s="766"/>
    </row>
    <row r="248" spans="1:34" ht="12.75">
      <c r="A248" s="1286"/>
      <c r="B248" s="764"/>
      <c r="C248" s="767"/>
      <c r="D248" s="1284"/>
      <c r="E248" s="1284"/>
      <c r="F248" s="1284"/>
      <c r="G248" s="1284"/>
      <c r="H248" s="1284"/>
      <c r="I248" s="1284"/>
      <c r="J248" s="1284"/>
      <c r="K248" s="1284"/>
      <c r="L248" s="1284"/>
      <c r="M248" s="1284"/>
      <c r="N248" s="1284"/>
      <c r="O248" s="1284"/>
      <c r="P248" s="1284"/>
      <c r="Q248" s="1284"/>
      <c r="R248" s="1284"/>
      <c r="S248" s="1284"/>
      <c r="T248" s="1286"/>
      <c r="U248" s="764"/>
      <c r="V248" s="767"/>
      <c r="W248" s="766"/>
      <c r="X248" s="766"/>
      <c r="Y248" s="766"/>
      <c r="Z248" s="766"/>
      <c r="AA248" s="766"/>
      <c r="AB248" s="766"/>
      <c r="AC248" s="766"/>
      <c r="AD248" s="766"/>
      <c r="AE248" s="766"/>
      <c r="AF248" s="766"/>
      <c r="AG248" s="766"/>
      <c r="AH248" s="766"/>
    </row>
  </sheetData>
  <sheetProtection/>
  <mergeCells count="86">
    <mergeCell ref="U216:V216"/>
    <mergeCell ref="B216:C216"/>
    <mergeCell ref="A208:A217"/>
    <mergeCell ref="T208:T217"/>
    <mergeCell ref="A218:A225"/>
    <mergeCell ref="T218:T225"/>
    <mergeCell ref="A226:A233"/>
    <mergeCell ref="T226:T233"/>
    <mergeCell ref="A199:A203"/>
    <mergeCell ref="T199:T203"/>
    <mergeCell ref="A204:A207"/>
    <mergeCell ref="T204:T207"/>
    <mergeCell ref="A189:A193"/>
    <mergeCell ref="A194:A198"/>
    <mergeCell ref="T189:T193"/>
    <mergeCell ref="T194:T198"/>
    <mergeCell ref="A179:A183"/>
    <mergeCell ref="A184:A188"/>
    <mergeCell ref="T184:T188"/>
    <mergeCell ref="T179:T183"/>
    <mergeCell ref="T155:T162"/>
    <mergeCell ref="A163:A170"/>
    <mergeCell ref="T163:T170"/>
    <mergeCell ref="A171:A178"/>
    <mergeCell ref="T171:T178"/>
    <mergeCell ref="A155:A162"/>
    <mergeCell ref="T143:T145"/>
    <mergeCell ref="A146:A148"/>
    <mergeCell ref="T146:T148"/>
    <mergeCell ref="A149:A154"/>
    <mergeCell ref="T149:T154"/>
    <mergeCell ref="A143:A145"/>
    <mergeCell ref="T119:T126"/>
    <mergeCell ref="A127:A134"/>
    <mergeCell ref="T127:T134"/>
    <mergeCell ref="A135:A142"/>
    <mergeCell ref="T135:T142"/>
    <mergeCell ref="A119:A126"/>
    <mergeCell ref="T95:T102"/>
    <mergeCell ref="A103:A110"/>
    <mergeCell ref="T103:T110"/>
    <mergeCell ref="A111:A118"/>
    <mergeCell ref="T111:T118"/>
    <mergeCell ref="A95:A102"/>
    <mergeCell ref="A79:A86"/>
    <mergeCell ref="T79:T86"/>
    <mergeCell ref="A87:A94"/>
    <mergeCell ref="T87:T94"/>
    <mergeCell ref="T55:T62"/>
    <mergeCell ref="A63:A70"/>
    <mergeCell ref="T63:T70"/>
    <mergeCell ref="T71:T78"/>
    <mergeCell ref="A71:A78"/>
    <mergeCell ref="T31:T38"/>
    <mergeCell ref="A39:A46"/>
    <mergeCell ref="T39:T46"/>
    <mergeCell ref="T47:T54"/>
    <mergeCell ref="T6:T14"/>
    <mergeCell ref="A15:A22"/>
    <mergeCell ref="T15:T22"/>
    <mergeCell ref="A23:A30"/>
    <mergeCell ref="T23:T30"/>
    <mergeCell ref="A47:A54"/>
    <mergeCell ref="AE4:AF4"/>
    <mergeCell ref="AH4:AH5"/>
    <mergeCell ref="U5:V5"/>
    <mergeCell ref="A2:R2"/>
    <mergeCell ref="T2:AH2"/>
    <mergeCell ref="A4:A5"/>
    <mergeCell ref="B4:C5"/>
    <mergeCell ref="D4:D5"/>
    <mergeCell ref="E4:E5"/>
    <mergeCell ref="G4:G5"/>
    <mergeCell ref="Q4:Q5"/>
    <mergeCell ref="R4:R5"/>
    <mergeCell ref="U4:AB4"/>
    <mergeCell ref="S4:S5"/>
    <mergeCell ref="T4:T5"/>
    <mergeCell ref="M4:M5"/>
    <mergeCell ref="N4:O4"/>
    <mergeCell ref="A6:A14"/>
    <mergeCell ref="A31:A38"/>
    <mergeCell ref="A55:A62"/>
    <mergeCell ref="F4:F5"/>
    <mergeCell ref="H4:I4"/>
    <mergeCell ref="J4:L4"/>
  </mergeCells>
  <printOptions horizontalCentered="1"/>
  <pageMargins left="0.3937007874015748" right="0.7874015748031497" top="0.3937007874015748" bottom="0.15748031496062992" header="0.15748031496062992" footer="0.15748031496062992"/>
  <pageSetup horizontalDpi="600" verticalDpi="600" orientation="landscape" paperSize="9" scale="48" r:id="rId1"/>
  <headerFooter alignWithMargins="0">
    <oddHeader>&amp;L&amp;8 6. melléklet a 8/2014.(V.5.) önkormányzati rendelethez</oddHeader>
  </headerFooter>
  <rowBreaks count="2" manualBreakCount="2">
    <brk id="86" max="34" man="1"/>
    <brk id="162" max="34" man="1"/>
  </rowBreaks>
  <colBreaks count="1" manualBreakCount="1">
    <brk id="19" max="2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cp:keywords/>
  <dc:description/>
  <cp:lastModifiedBy>zomborimonika</cp:lastModifiedBy>
  <cp:lastPrinted>2014-04-30T13:28:42Z</cp:lastPrinted>
  <dcterms:created xsi:type="dcterms:W3CDTF">2013-04-22T15:57:07Z</dcterms:created>
  <dcterms:modified xsi:type="dcterms:W3CDTF">2014-04-30T13:28:52Z</dcterms:modified>
  <cp:category/>
  <cp:version/>
  <cp:contentType/>
  <cp:contentStatus/>
</cp:coreProperties>
</file>