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778" firstSheet="20" activeTab="25"/>
  </bookViews>
  <sheets>
    <sheet name="1. sz. melléklet" sheetId="1" r:id="rId1"/>
    <sheet name="2. sz. melléklet" sheetId="2" r:id="rId2"/>
    <sheet name="3. sz. melléklet" sheetId="3" r:id="rId3"/>
    <sheet name="4.sz. melléklet" sheetId="4" r:id="rId4"/>
    <sheet name="5. sz. melléklet - Önkormányzat" sheetId="5" r:id="rId5"/>
    <sheet name="5. sz. melléklet - Közös Hivata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1. sz. melléklet" sheetId="12" r:id="rId12"/>
    <sheet name="12. sz. melléklet" sheetId="13" r:id="rId13"/>
    <sheet name="13. sz. melléklet" sheetId="14" r:id="rId14"/>
    <sheet name="14. sz. melléklet" sheetId="15" r:id="rId15"/>
    <sheet name="14. sz. melléklet 2." sheetId="16" r:id="rId16"/>
    <sheet name="14. sz. melléklet 3. " sheetId="17" r:id="rId17"/>
    <sheet name="15. sz. melléklet" sheetId="18" r:id="rId18"/>
    <sheet name="16. sz. melléklet" sheetId="19" r:id="rId19"/>
    <sheet name="17. sz. melléklet" sheetId="20" r:id="rId20"/>
    <sheet name="18. sz. melléklet" sheetId="21" r:id="rId21"/>
    <sheet name="19. sz.  melléklet" sheetId="22" r:id="rId22"/>
    <sheet name="20. sz.  melléklet" sheetId="23" r:id="rId23"/>
    <sheet name="21. sz. melléklet" sheetId="24" r:id="rId24"/>
    <sheet name="22. sz. melléklet" sheetId="25" r:id="rId25"/>
    <sheet name="23. sz. melléklet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c" localSheetId="24">#REF!</definedName>
    <definedName name="c">#REF!</definedName>
    <definedName name="Excel_BuiltIn__FilterDatabase_5" localSheetId="10">#REF!</definedName>
    <definedName name="Excel_BuiltIn__FilterDatabase_5" localSheetId="11">'[8]4. sz. melléklet'!#REF!</definedName>
    <definedName name="Excel_BuiltIn__FilterDatabase_5" localSheetId="12">'[8]4. sz. melléklet'!#REF!</definedName>
    <definedName name="Excel_BuiltIn__FilterDatabase_5" localSheetId="17">#REF!</definedName>
    <definedName name="Excel_BuiltIn__FilterDatabase_5" localSheetId="24">#REF!</definedName>
    <definedName name="Excel_BuiltIn__FilterDatabase_5" localSheetId="2">#REF!</definedName>
    <definedName name="Excel_BuiltIn__FilterDatabase_5" localSheetId="3">#REF!</definedName>
    <definedName name="Excel_BuiltIn__FilterDatabase_5">#REF!</definedName>
    <definedName name="Excel_BuiltIn__FilterDatabase_5_1" localSheetId="24">'[11]4. sz. melléklet'!#REF!</definedName>
    <definedName name="Excel_BuiltIn__FilterDatabase_5_1">'[2]4. sz. melléklet'!#REF!</definedName>
    <definedName name="Excel_BuiltIn__FilterDatabase_5_10">NA()</definedName>
    <definedName name="Excel_BuiltIn__FilterDatabase_5_11" localSheetId="24">'[12]4. sz. melléklet'!#REF!</definedName>
    <definedName name="Excel_BuiltIn__FilterDatabase_5_11">'[4]4. sz. melléklet'!#REF!</definedName>
    <definedName name="Excel_BuiltIn__FilterDatabase_5_12" localSheetId="24">'[12]4. sz. melléklet'!#REF!</definedName>
    <definedName name="Excel_BuiltIn__FilterDatabase_5_12">'[4]4. sz. melléklet'!#REF!</definedName>
    <definedName name="Excel_BuiltIn__FilterDatabase_5_13" localSheetId="10">#REF!</definedName>
    <definedName name="Excel_BuiltIn__FilterDatabase_5_13" localSheetId="11">#REF!</definedName>
    <definedName name="Excel_BuiltIn__FilterDatabase_5_13" localSheetId="12">#REF!</definedName>
    <definedName name="Excel_BuiltIn__FilterDatabase_5_13" localSheetId="17">#REF!</definedName>
    <definedName name="Excel_BuiltIn__FilterDatabase_5_13" localSheetId="24">#REF!</definedName>
    <definedName name="Excel_BuiltIn__FilterDatabase_5_13" localSheetId="2">#REF!</definedName>
    <definedName name="Excel_BuiltIn__FilterDatabase_5_13" localSheetId="3">#REF!</definedName>
    <definedName name="Excel_BuiltIn__FilterDatabase_5_13">#REF!</definedName>
    <definedName name="Excel_BuiltIn__FilterDatabase_5_15" localSheetId="24">'[13]4. sz. melléklet'!#REF!</definedName>
    <definedName name="Excel_BuiltIn__FilterDatabase_5_15">'[5]4. sz. melléklet'!#REF!</definedName>
    <definedName name="Excel_BuiltIn__FilterDatabase_5_17" localSheetId="10">#REF!</definedName>
    <definedName name="Excel_BuiltIn__FilterDatabase_5_17" localSheetId="11">#REF!</definedName>
    <definedName name="Excel_BuiltIn__FilterDatabase_5_17" localSheetId="12">#REF!</definedName>
    <definedName name="Excel_BuiltIn__FilterDatabase_5_17" localSheetId="17">#REF!</definedName>
    <definedName name="Excel_BuiltIn__FilterDatabase_5_17" localSheetId="24">#REF!</definedName>
    <definedName name="Excel_BuiltIn__FilterDatabase_5_17" localSheetId="2">#REF!</definedName>
    <definedName name="Excel_BuiltIn__FilterDatabase_5_17" localSheetId="3">#REF!</definedName>
    <definedName name="Excel_BuiltIn__FilterDatabase_5_17">#REF!</definedName>
    <definedName name="Excel_BuiltIn__FilterDatabase_5_5" localSheetId="24">'[14]4.A sz. melléklet'!#REF!</definedName>
    <definedName name="Excel_BuiltIn__FilterDatabase_5_5">'[3]4.A sz. melléklet'!#REF!</definedName>
    <definedName name="Excel_BuiltIn__FilterDatabase_5_6" localSheetId="24">'[14]4.B-C. sz. melléklet'!#REF!</definedName>
    <definedName name="Excel_BuiltIn__FilterDatabase_5_6">'[3]4.B-C. sz. melléklet'!#REF!</definedName>
    <definedName name="Excel_BuiltIn__FilterDatabase_5_7">NA()</definedName>
    <definedName name="Excel_BuiltIn__FilterDatabase_5_8" localSheetId="24">'[12]4. sz. melléklet'!#REF!</definedName>
    <definedName name="Excel_BuiltIn__FilterDatabase_5_8">'[4]4. sz. melléklet'!#REF!</definedName>
    <definedName name="Excel_BuiltIn__FilterDatabase_5_9" localSheetId="24">'[12]4. sz. melléklet'!#REF!</definedName>
    <definedName name="Excel_BuiltIn__FilterDatabase_5_9">'[4]4. sz. melléklet'!#REF!</definedName>
    <definedName name="Excel_BuiltIn_Print_Area" localSheetId="24">'22. sz. melléklet'!$A$1:$H$74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7">'15. sz. melléklet'!#REF!</definedName>
    <definedName name="Excel_BuiltIn_Print_Area_1" localSheetId="24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Excel_BuiltIn_Print_Area_1_1">NA()</definedName>
    <definedName name="Excel_BuiltIn_Print_Area_1_15" localSheetId="10">#REF!</definedName>
    <definedName name="Excel_BuiltIn_Print_Area_1_15" localSheetId="11">#REF!</definedName>
    <definedName name="Excel_BuiltIn_Print_Area_1_15" localSheetId="12">#REF!</definedName>
    <definedName name="Excel_BuiltIn_Print_Area_1_15" localSheetId="17">#REF!</definedName>
    <definedName name="Excel_BuiltIn_Print_Area_1_15" localSheetId="24">#REF!</definedName>
    <definedName name="Excel_BuiltIn_Print_Area_1_15" localSheetId="2">#REF!</definedName>
    <definedName name="Excel_BuiltIn_Print_Area_1_15" localSheetId="3">#REF!</definedName>
    <definedName name="Excel_BuiltIn_Print_Area_1_15">#REF!</definedName>
    <definedName name="Excel_BuiltIn_Print_Area_1_21" localSheetId="24">'[14]18.'!#REF!</definedName>
    <definedName name="Excel_BuiltIn_Print_Area_1_21">'[3]18.'!#REF!</definedName>
    <definedName name="Excel_BuiltIn_Print_Area_1_22" localSheetId="24">'[14]19.'!#REF!</definedName>
    <definedName name="Excel_BuiltIn_Print_Area_1_22">'[3]19.'!#REF!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 localSheetId="17">#REF!</definedName>
    <definedName name="Excel_BuiltIn_Print_Area_2" localSheetId="24">#REF!</definedName>
    <definedName name="Excel_BuiltIn_Print_Area_2" localSheetId="2">#REF!</definedName>
    <definedName name="Excel_BuiltIn_Print_Area_2" localSheetId="3">#REF!</definedName>
    <definedName name="Excel_BuiltIn_Print_Area_2">#REF!</definedName>
    <definedName name="Excel_BuiltIn_Print_Area_21" localSheetId="10">#REF!</definedName>
    <definedName name="Excel_BuiltIn_Print_Area_21" localSheetId="11">#REF!</definedName>
    <definedName name="Excel_BuiltIn_Print_Area_21" localSheetId="12">#REF!</definedName>
    <definedName name="Excel_BuiltIn_Print_Area_21" localSheetId="17">#REF!</definedName>
    <definedName name="Excel_BuiltIn_Print_Area_21" localSheetId="2">#REF!</definedName>
    <definedName name="Excel_BuiltIn_Print_Area_21" localSheetId="3">#REF!</definedName>
    <definedName name="Excel_BuiltIn_Print_Area_21">#REF!</definedName>
    <definedName name="Excel_BuiltIn_Print_Area_2_1" localSheetId="24">#REF!</definedName>
    <definedName name="Excel_BuiltIn_Print_Area_2_1">#REF!</definedName>
    <definedName name="Excel_BuiltIn_Print_Area_2_15" localSheetId="10">#REF!</definedName>
    <definedName name="Excel_BuiltIn_Print_Area_2_15" localSheetId="11">#REF!</definedName>
    <definedName name="Excel_BuiltIn_Print_Area_2_15" localSheetId="12">#REF!</definedName>
    <definedName name="Excel_BuiltIn_Print_Area_2_15" localSheetId="17">#REF!</definedName>
    <definedName name="Excel_BuiltIn_Print_Area_2_15" localSheetId="24">#REF!</definedName>
    <definedName name="Excel_BuiltIn_Print_Area_2_15" localSheetId="2">#REF!</definedName>
    <definedName name="Excel_BuiltIn_Print_Area_2_15" localSheetId="3">#REF!</definedName>
    <definedName name="Excel_BuiltIn_Print_Area_2_15">#REF!</definedName>
    <definedName name="Excel_BuiltIn_Print_Area_2_5" localSheetId="10">#REF!</definedName>
    <definedName name="Excel_BuiltIn_Print_Area_2_5" localSheetId="11">#REF!</definedName>
    <definedName name="Excel_BuiltIn_Print_Area_2_5" localSheetId="12">#REF!</definedName>
    <definedName name="Excel_BuiltIn_Print_Area_2_5" localSheetId="17">#REF!</definedName>
    <definedName name="Excel_BuiltIn_Print_Area_2_5" localSheetId="24">#REF!</definedName>
    <definedName name="Excel_BuiltIn_Print_Area_2_5" localSheetId="2">#REF!</definedName>
    <definedName name="Excel_BuiltIn_Print_Area_2_5" localSheetId="3">#REF!</definedName>
    <definedName name="Excel_BuiltIn_Print_Area_2_5">#REF!</definedName>
    <definedName name="Excel_BuiltIn_Print_Area_2_6" localSheetId="10">#REF!</definedName>
    <definedName name="Excel_BuiltIn_Print_Area_2_6" localSheetId="11">#REF!</definedName>
    <definedName name="Excel_BuiltIn_Print_Area_2_6" localSheetId="12">#REF!</definedName>
    <definedName name="Excel_BuiltIn_Print_Area_2_6" localSheetId="17">#REF!</definedName>
    <definedName name="Excel_BuiltIn_Print_Area_2_6" localSheetId="24">#REF!</definedName>
    <definedName name="Excel_BuiltIn_Print_Area_2_6" localSheetId="2">#REF!</definedName>
    <definedName name="Excel_BuiltIn_Print_Area_2_6" localSheetId="3">#REF!</definedName>
    <definedName name="Excel_BuiltIn_Print_Area_2_6">#REF!</definedName>
    <definedName name="Excel_BuiltIn_Print_Titles_6" localSheetId="24">'[14]4.B-C. sz. melléklet'!#REF!</definedName>
    <definedName name="Excel_BuiltIn_Print_Titles_6">'[3]4.B-C. sz. melléklet'!#REF!</definedName>
    <definedName name="fff" localSheetId="24">#REF!</definedName>
    <definedName name="fff">#REF!</definedName>
    <definedName name="_xlnm.Print_Titles" localSheetId="11">'11. sz. melléklet'!$5:$5</definedName>
    <definedName name="_xlnm.Print_Titles" localSheetId="12">'12. sz. melléklet'!$5:$5</definedName>
    <definedName name="_xlnm.Print_Titles" localSheetId="19">'17. sz. melléklet'!$4:$5</definedName>
    <definedName name="_xlnm.Print_Titles" localSheetId="25">'23. sz. melléklet'!$10:$10</definedName>
    <definedName name="_xlnm.Print_Titles" localSheetId="5">'5. sz. melléklet - Közös Hivata'!$4:$6</definedName>
    <definedName name="_xlnm.Print_Titles" localSheetId="4">'5. sz. melléklet - Önkormányzat'!$3:$5</definedName>
    <definedName name="_xlnm.Print_Titles" localSheetId="6">'6. sz. melléklet'!$2:$3</definedName>
    <definedName name="_xlnm.Print_Titles" localSheetId="8">'8. sz. melléklet'!$4:$4</definedName>
    <definedName name="_xlnm.Print_Titles" localSheetId="9">'9. sz. melléklet'!$4:$4</definedName>
    <definedName name="_xlnm.Print_Area" localSheetId="0">'1. sz. melléklet'!$A$1:$L$81</definedName>
    <definedName name="_xlnm.Print_Area" localSheetId="10">'10. sz. melléklet'!$A$1:$G$65</definedName>
    <definedName name="_xlnm.Print_Area" localSheetId="11">'11. sz. melléklet'!$B$1:$F$129</definedName>
    <definedName name="_xlnm.Print_Area" localSheetId="12">'12. sz. melléklet'!$A$1:$E$134</definedName>
    <definedName name="_xlnm.Print_Area" localSheetId="13">'13. sz. melléklet'!$A$1:$D$41</definedName>
    <definedName name="_xlnm.Print_Area" localSheetId="14">'14. sz. melléklet'!$A$1:$M$55</definedName>
    <definedName name="_xlnm.Print_Area" localSheetId="15">'14. sz. melléklet 2.'!$A$1:$F$20</definedName>
    <definedName name="_xlnm.Print_Area" localSheetId="17">'15. sz. melléklet'!$A$1:$H$46</definedName>
    <definedName name="_xlnm.Print_Area" localSheetId="18">'16. sz. melléklet'!$A$1:$S$60</definedName>
    <definedName name="_xlnm.Print_Area" localSheetId="19">'17. sz. melléklet'!$A$1:$P$81</definedName>
    <definedName name="_xlnm.Print_Area" localSheetId="21">'19. sz.  melléklet'!$A$1:$D$39</definedName>
    <definedName name="_xlnm.Print_Area" localSheetId="1">'2. sz. melléklet'!$A$1:$H$79</definedName>
    <definedName name="_xlnm.Print_Area" localSheetId="23">'21. sz. melléklet'!$A$1:$I$38</definedName>
    <definedName name="_xlnm.Print_Area" localSheetId="24">'22. sz. melléklet'!$A$1:$G$55</definedName>
    <definedName name="_xlnm.Print_Area" localSheetId="2">'3. sz. melléklet'!$A$1:$P$64</definedName>
    <definedName name="_xlnm.Print_Area" localSheetId="3">'4.sz. melléklet'!$C$1:$R$35</definedName>
    <definedName name="_xlnm.Print_Area" localSheetId="6">'6. sz. melléklet'!$A$1:$AD$157</definedName>
    <definedName name="_xlnm.Print_Area" localSheetId="7">'7. sz. melléklet'!$A$1:$O$47</definedName>
    <definedName name="_xlnm.Print_Area" localSheetId="8">'8. sz. melléklet'!$B$1:$R$126</definedName>
    <definedName name="_xlnm.Print_Area" localSheetId="9">'9. sz. melléklet'!$B$1:$S$76</definedName>
    <definedName name="SHARED_FORMULA_1_10_1_10_2" localSheetId="11">SUM(#REF!,#REF!,#REF!,#REF!,#REF!,#REF!)</definedName>
    <definedName name="SHARED_FORMULA_1_10_1_10_2" localSheetId="12">SUM(#REF!,#REF!,#REF!,#REF!,#REF!,#REF!)</definedName>
    <definedName name="SHARED_FORMULA_1_10_1_10_2" localSheetId="24">SUM(#REF!,#REF!,#REF!,#REF!,#REF!,#REF!)</definedName>
    <definedName name="SHARED_FORMULA_1_10_1_10_2">SUM(#REF!,#REF!,#REF!,#REF!,#REF!,#REF!)</definedName>
    <definedName name="SHARED_FORMULA_1_26_1_26_2" localSheetId="11">SUM(#REF!,#REF!,#REF!)</definedName>
    <definedName name="SHARED_FORMULA_1_26_1_26_2" localSheetId="12">SUM(#REF!,#REF!,#REF!)</definedName>
    <definedName name="SHARED_FORMULA_1_26_1_26_2" localSheetId="24">SUM(#REF!,#REF!,#REF!)</definedName>
    <definedName name="SHARED_FORMULA_1_26_1_26_2">SUM(#REF!,#REF!,#REF!)</definedName>
    <definedName name="SHARED_FORMULA_1_38_1_38_8" localSheetId="11">SUM(#REF!)</definedName>
    <definedName name="SHARED_FORMULA_1_38_1_38_8" localSheetId="12">SUM(#REF!)</definedName>
    <definedName name="SHARED_FORMULA_1_38_1_38_8" localSheetId="24">SUM(#REF!)</definedName>
    <definedName name="SHARED_FORMULA_1_38_1_38_8">SUM(#REF!)</definedName>
    <definedName name="SHARED_FORMULA_1_42_1_42_8" localSheetId="11">SUM(#REF!,#REF!)</definedName>
    <definedName name="SHARED_FORMULA_1_42_1_42_8" localSheetId="12">SUM(#REF!,#REF!)</definedName>
    <definedName name="SHARED_FORMULA_1_42_1_42_8" localSheetId="24">SUM(#REF!,#REF!)</definedName>
    <definedName name="SHARED_FORMULA_1_42_1_42_8">SUM(#REF!,#REF!)</definedName>
    <definedName name="SHARED_FORMULA_10_41_10_41_2" localSheetId="11">SUM(#REF!+#REF!+#REF!)</definedName>
    <definedName name="SHARED_FORMULA_10_41_10_41_2" localSheetId="12">SUM(#REF!+#REF!+#REF!)</definedName>
    <definedName name="SHARED_FORMULA_10_41_10_41_2" localSheetId="24">SUM(#REF!+#REF!+#REF!)</definedName>
    <definedName name="SHARED_FORMULA_10_41_10_41_2">SUM(#REF!+#REF!+#REF!)</definedName>
    <definedName name="SHARED_FORMULA_10_5_10_5_2" localSheetId="11">SUM(#REF!+#REF!+#REF!)</definedName>
    <definedName name="SHARED_FORMULA_10_5_10_5_2" localSheetId="12">SUM(#REF!+#REF!+#REF!)</definedName>
    <definedName name="SHARED_FORMULA_10_5_10_5_2" localSheetId="24">SUM(#REF!+#REF!+#REF!)</definedName>
    <definedName name="SHARED_FORMULA_10_5_10_5_2">SUM(#REF!+#REF!+#REF!)</definedName>
    <definedName name="SHARED_FORMULA_11_40_11_40_2" localSheetId="11">SUM(#REF!+#REF!+#REF!)</definedName>
    <definedName name="SHARED_FORMULA_11_40_11_40_2" localSheetId="12">SUM(#REF!+#REF!+#REF!)</definedName>
    <definedName name="SHARED_FORMULA_11_40_11_40_2" localSheetId="24">SUM(#REF!+#REF!+#REF!)</definedName>
    <definedName name="SHARED_FORMULA_11_40_11_40_2">SUM(#REF!+#REF!+#REF!)</definedName>
    <definedName name="SHARED_FORMULA_11_5_11_5_2" localSheetId="11">SUM(#REF!+#REF!+#REF!)</definedName>
    <definedName name="SHARED_FORMULA_11_5_11_5_2" localSheetId="12">SUM(#REF!+#REF!+#REF!)</definedName>
    <definedName name="SHARED_FORMULA_11_5_11_5_2" localSheetId="24">SUM(#REF!+#REF!+#REF!)</definedName>
    <definedName name="SHARED_FORMULA_11_5_11_5_2">SUM(#REF!+#REF!+#REF!)</definedName>
    <definedName name="SHARED_FORMULA_12_13_12_13_3" localSheetId="11">SUM(#REF!+#REF!+#REF!)</definedName>
    <definedName name="SHARED_FORMULA_12_13_12_13_3" localSheetId="12">SUM(#REF!+#REF!+#REF!)</definedName>
    <definedName name="SHARED_FORMULA_12_13_12_13_3" localSheetId="24">SUM(#REF!+#REF!+#REF!)</definedName>
    <definedName name="SHARED_FORMULA_12_13_12_13_3">SUM(#REF!+#REF!+#REF!)</definedName>
    <definedName name="SHARED_FORMULA_12_133_12_133_5" localSheetId="11">SUM(#REF!)-#REF!-#REF!-#REF!</definedName>
    <definedName name="SHARED_FORMULA_12_133_12_133_5" localSheetId="12">SUM(#REF!)-#REF!-#REF!-#REF!</definedName>
    <definedName name="SHARED_FORMULA_12_133_12_133_5" localSheetId="24">SUM(#REF!)-#REF!-#REF!-#REF!</definedName>
    <definedName name="SHARED_FORMULA_12_133_12_133_5">SUM(#REF!)-#REF!-#REF!-#REF!</definedName>
    <definedName name="SHARED_FORMULA_12_40_12_40_2" localSheetId="11">SUM(#REF!+#REF!+#REF!)</definedName>
    <definedName name="SHARED_FORMULA_12_40_12_40_2" localSheetId="12">SUM(#REF!+#REF!+#REF!)</definedName>
    <definedName name="SHARED_FORMULA_12_40_12_40_2" localSheetId="24">SUM(#REF!+#REF!+#REF!)</definedName>
    <definedName name="SHARED_FORMULA_12_40_12_40_2">SUM(#REF!+#REF!+#REF!)</definedName>
    <definedName name="SHARED_FORMULA_12_5_12_5_2" localSheetId="11">SUM(#REF!+#REF!+#REF!)</definedName>
    <definedName name="SHARED_FORMULA_12_5_12_5_2" localSheetId="12">SUM(#REF!+#REF!+#REF!)</definedName>
    <definedName name="SHARED_FORMULA_12_5_12_5_2" localSheetId="24">SUM(#REF!+#REF!+#REF!)</definedName>
    <definedName name="SHARED_FORMULA_12_5_12_5_2">SUM(#REF!+#REF!+#REF!)</definedName>
    <definedName name="SHARED_FORMULA_12_5_12_5_3" localSheetId="11">SUM(#REF!+#REF!+#REF!)</definedName>
    <definedName name="SHARED_FORMULA_12_5_12_5_3" localSheetId="12">SUM(#REF!+#REF!+#REF!)</definedName>
    <definedName name="SHARED_FORMULA_12_5_12_5_3" localSheetId="24">SUM(#REF!+#REF!+#REF!)</definedName>
    <definedName name="SHARED_FORMULA_12_5_12_5_3">SUM(#REF!+#REF!+#REF!)</definedName>
    <definedName name="SHARED_FORMULA_12_6_12_6_0" localSheetId="11">#REF!/#REF!*100</definedName>
    <definedName name="SHARED_FORMULA_12_6_12_6_0" localSheetId="12">#REF!/#REF!*100</definedName>
    <definedName name="SHARED_FORMULA_12_6_12_6_0" localSheetId="24">#REF!/#REF!*100</definedName>
    <definedName name="SHARED_FORMULA_12_6_12_6_0">#REF!/#REF!*100</definedName>
    <definedName name="SHARED_FORMULA_13_105_13_105_5" localSheetId="11">SUM(#REF!)-#REF!</definedName>
    <definedName name="SHARED_FORMULA_13_105_13_105_5" localSheetId="12">SUM(#REF!)-#REF!</definedName>
    <definedName name="SHARED_FORMULA_13_105_13_105_5" localSheetId="24">SUM(#REF!)-#REF!</definedName>
    <definedName name="SHARED_FORMULA_13_105_13_105_5">SUM(#REF!)-#REF!</definedName>
    <definedName name="SHARED_FORMULA_13_3_13_3_5" localSheetId="11">SUM(#REF!)-#REF!</definedName>
    <definedName name="SHARED_FORMULA_13_3_13_3_5" localSheetId="12">SUM(#REF!)-#REF!</definedName>
    <definedName name="SHARED_FORMULA_13_3_13_3_5" localSheetId="24">SUM(#REF!)-#REF!</definedName>
    <definedName name="SHARED_FORMULA_13_3_13_3_5">SUM(#REF!)-#REF!</definedName>
    <definedName name="SHARED_FORMULA_13_41_13_41_5" localSheetId="11">SUM(#REF!)-#REF!</definedName>
    <definedName name="SHARED_FORMULA_13_41_13_41_5" localSheetId="12">SUM(#REF!)-#REF!</definedName>
    <definedName name="SHARED_FORMULA_13_41_13_41_5" localSheetId="24">SUM(#REF!)-#REF!</definedName>
    <definedName name="SHARED_FORMULA_13_41_13_41_5">SUM(#REF!)-#REF!</definedName>
    <definedName name="SHARED_FORMULA_13_73_13_73_5" localSheetId="11">SUM(#REF!)-#REF!</definedName>
    <definedName name="SHARED_FORMULA_13_73_13_73_5" localSheetId="12">SUM(#REF!)-#REF!</definedName>
    <definedName name="SHARED_FORMULA_13_73_13_73_5" localSheetId="24">SUM(#REF!)-#REF!</definedName>
    <definedName name="SHARED_FORMULA_13_73_13_73_5">SUM(#REF!)-#REF!</definedName>
    <definedName name="SHARED_FORMULA_13_9_13_9_3" localSheetId="11">SUM(#REF!+#REF!+#REF!)</definedName>
    <definedName name="SHARED_FORMULA_13_9_13_9_3" localSheetId="12">SUM(#REF!+#REF!+#REF!)</definedName>
    <definedName name="SHARED_FORMULA_13_9_13_9_3" localSheetId="24">SUM(#REF!+#REF!+#REF!)</definedName>
    <definedName name="SHARED_FORMULA_13_9_13_9_3">SUM(#REF!+#REF!+#REF!)</definedName>
    <definedName name="SHARED_FORMULA_14_102_14_102_5" localSheetId="11">#REF!</definedName>
    <definedName name="SHARED_FORMULA_14_102_14_102_5" localSheetId="12">#REF!</definedName>
    <definedName name="SHARED_FORMULA_14_102_14_102_5" localSheetId="24">#REF!</definedName>
    <definedName name="SHARED_FORMULA_14_102_14_102_5">#REF!</definedName>
    <definedName name="SHARED_FORMULA_14_121_14_121_5" localSheetId="11">#REF!+#REF!+#REF!+#REF!</definedName>
    <definedName name="SHARED_FORMULA_14_121_14_121_5" localSheetId="12">#REF!+#REF!+#REF!+#REF!</definedName>
    <definedName name="SHARED_FORMULA_14_121_14_121_5" localSheetId="24">#REF!+#REF!+#REF!+#REF!</definedName>
    <definedName name="SHARED_FORMULA_14_121_14_121_5">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 localSheetId="12">#REF!+#REF!+#REF!+#REF!+#REF!+#REF!+#REF!+#REF!+#REF!+#REF!+#REF!+#REF!+#REF!+#REF!+#REF!+#REF!+#REF!+#REF!+#REF!+#REF!+#REF!+#REF!+#REF!</definedName>
    <definedName name="SHARED_FORMULA_14_131_14_131_5" localSheetId="24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1">#REF!+#REF!</definedName>
    <definedName name="SHARED_FORMULA_14_150_14_150_5" localSheetId="12">#REF!+#REF!</definedName>
    <definedName name="SHARED_FORMULA_14_150_14_150_5" localSheetId="24">#REF!+#REF!</definedName>
    <definedName name="SHARED_FORMULA_14_150_14_150_5">#REF!+#REF!</definedName>
    <definedName name="SHARED_FORMULA_14_151_14_151_5" localSheetId="11">#REF!-#REF!</definedName>
    <definedName name="SHARED_FORMULA_14_151_14_151_5" localSheetId="12">#REF!-#REF!</definedName>
    <definedName name="SHARED_FORMULA_14_151_14_151_5" localSheetId="24">#REF!-#REF!</definedName>
    <definedName name="SHARED_FORMULA_14_151_14_151_5">#REF!-#REF!</definedName>
    <definedName name="SHARED_FORMULA_14_71_14_71_5" localSheetId="11">#REF!+#REF!+#REF!+#REF!</definedName>
    <definedName name="SHARED_FORMULA_14_71_14_71_5" localSheetId="12">#REF!+#REF!+#REF!+#REF!</definedName>
    <definedName name="SHARED_FORMULA_14_71_14_71_5" localSheetId="24">#REF!+#REF!+#REF!+#REF!</definedName>
    <definedName name="SHARED_FORMULA_14_71_14_71_5">#REF!+#REF!+#REF!+#REF!</definedName>
    <definedName name="SHARED_FORMULA_14_72_14_72_5" localSheetId="11">#REF!+#REF!+#REF!+#REF!</definedName>
    <definedName name="SHARED_FORMULA_14_72_14_72_5" localSheetId="12">#REF!+#REF!+#REF!+#REF!</definedName>
    <definedName name="SHARED_FORMULA_14_72_14_72_5" localSheetId="24">#REF!+#REF!+#REF!+#REF!</definedName>
    <definedName name="SHARED_FORMULA_14_72_14_72_5">#REF!+#REF!+#REF!+#REF!</definedName>
    <definedName name="SHARED_FORMULA_14_73_14_73_5" localSheetId="11">#REF!+#REF!+#REF!+#REF!</definedName>
    <definedName name="SHARED_FORMULA_14_73_14_73_5" localSheetId="12">#REF!+#REF!+#REF!+#REF!</definedName>
    <definedName name="SHARED_FORMULA_14_73_14_73_5" localSheetId="24">#REF!+#REF!+#REF!+#REF!</definedName>
    <definedName name="SHARED_FORMULA_14_73_14_73_5">#REF!+#REF!+#REF!+#REF!</definedName>
    <definedName name="SHARED_FORMULA_14_74_14_74_5" localSheetId="11">#REF!+#REF!+#REF!+#REF!</definedName>
    <definedName name="SHARED_FORMULA_14_74_14_74_5" localSheetId="12">#REF!+#REF!+#REF!+#REF!</definedName>
    <definedName name="SHARED_FORMULA_14_74_14_74_5" localSheetId="24">#REF!+#REF!+#REF!+#REF!</definedName>
    <definedName name="SHARED_FORMULA_14_74_14_74_5">#REF!+#REF!+#REF!+#REF!</definedName>
    <definedName name="SHARED_FORMULA_14_75_14_75_5" localSheetId="11">#REF!+#REF!+#REF!+#REF!</definedName>
    <definedName name="SHARED_FORMULA_14_75_14_75_5" localSheetId="12">#REF!+#REF!+#REF!+#REF!</definedName>
    <definedName name="SHARED_FORMULA_14_75_14_75_5" localSheetId="24">#REF!+#REF!+#REF!+#REF!</definedName>
    <definedName name="SHARED_FORMULA_14_75_14_75_5">#REF!+#REF!+#REF!+#REF!</definedName>
    <definedName name="SHARED_FORMULA_14_86_14_86_5" localSheetId="11">#REF!+#REF!</definedName>
    <definedName name="SHARED_FORMULA_14_86_14_86_5" localSheetId="12">#REF!+#REF!</definedName>
    <definedName name="SHARED_FORMULA_14_86_14_86_5" localSheetId="24">#REF!+#REF!</definedName>
    <definedName name="SHARED_FORMULA_14_86_14_86_5">#REF!+#REF!</definedName>
    <definedName name="SHARED_FORMULA_14_9_14_9_3" localSheetId="11">SUM(#REF!+#REF!+#REF!)</definedName>
    <definedName name="SHARED_FORMULA_14_9_14_9_3" localSheetId="12">SUM(#REF!+#REF!+#REF!)</definedName>
    <definedName name="SHARED_FORMULA_14_9_14_9_3" localSheetId="24">SUM(#REF!+#REF!+#REF!)</definedName>
    <definedName name="SHARED_FORMULA_14_9_14_9_3">SUM(#REF!+#REF!+#REF!)</definedName>
    <definedName name="SHARED_FORMULA_16_112_16_112_5" localSheetId="11">#REF!</definedName>
    <definedName name="SHARED_FORMULA_16_112_16_112_5" localSheetId="12">#REF!</definedName>
    <definedName name="SHARED_FORMULA_16_112_16_112_5" localSheetId="24">#REF!</definedName>
    <definedName name="SHARED_FORMULA_16_112_16_112_5">#REF!</definedName>
    <definedName name="SHARED_FORMULA_17_108_17_108_5" localSheetId="11">#REF!</definedName>
    <definedName name="SHARED_FORMULA_17_108_17_108_5" localSheetId="12">#REF!</definedName>
    <definedName name="SHARED_FORMULA_17_108_17_108_5" localSheetId="24">#REF!</definedName>
    <definedName name="SHARED_FORMULA_17_108_17_108_5">#REF!</definedName>
    <definedName name="SHARED_FORMULA_17_117_17_117_5" localSheetId="11">#REF!</definedName>
    <definedName name="SHARED_FORMULA_17_117_17_117_5" localSheetId="12">#REF!</definedName>
    <definedName name="SHARED_FORMULA_17_117_17_117_5" localSheetId="24">#REF!</definedName>
    <definedName name="SHARED_FORMULA_17_117_17_117_5">#REF!</definedName>
    <definedName name="SHARED_FORMULA_17_127_17_127_5" localSheetId="11">#REF!</definedName>
    <definedName name="SHARED_FORMULA_17_127_17_127_5" localSheetId="12">#REF!</definedName>
    <definedName name="SHARED_FORMULA_17_127_17_127_5" localSheetId="24">#REF!</definedName>
    <definedName name="SHARED_FORMULA_17_127_17_127_5">#REF!</definedName>
    <definedName name="SHARED_FORMULA_17_22_17_22_5" localSheetId="11">#REF!</definedName>
    <definedName name="SHARED_FORMULA_17_22_17_22_5" localSheetId="12">#REF!</definedName>
    <definedName name="SHARED_FORMULA_17_22_17_22_5" localSheetId="24">#REF!</definedName>
    <definedName name="SHARED_FORMULA_17_22_17_22_5">#REF!</definedName>
    <definedName name="SHARED_FORMULA_17_27_17_27_5" localSheetId="11">#REF!</definedName>
    <definedName name="SHARED_FORMULA_17_27_17_27_5" localSheetId="12">#REF!</definedName>
    <definedName name="SHARED_FORMULA_17_27_17_27_5" localSheetId="24">#REF!</definedName>
    <definedName name="SHARED_FORMULA_17_27_17_27_5">#REF!</definedName>
    <definedName name="SHARED_FORMULA_17_32_17_32_5" localSheetId="11">#REF!</definedName>
    <definedName name="SHARED_FORMULA_17_32_17_32_5" localSheetId="12">#REF!</definedName>
    <definedName name="SHARED_FORMULA_17_32_17_32_5" localSheetId="24">#REF!</definedName>
    <definedName name="SHARED_FORMULA_17_32_17_32_5">#REF!</definedName>
    <definedName name="SHARED_FORMULA_17_37_17_37_5" localSheetId="11">#REF!</definedName>
    <definedName name="SHARED_FORMULA_17_37_17_37_5" localSheetId="12">#REF!</definedName>
    <definedName name="SHARED_FORMULA_17_37_17_37_5" localSheetId="24">#REF!</definedName>
    <definedName name="SHARED_FORMULA_17_37_17_37_5">#REF!</definedName>
    <definedName name="SHARED_FORMULA_17_4_17_4_5" localSheetId="11">#REF!</definedName>
    <definedName name="SHARED_FORMULA_17_4_17_4_5" localSheetId="12">#REF!</definedName>
    <definedName name="SHARED_FORMULA_17_4_17_4_5" localSheetId="24">#REF!</definedName>
    <definedName name="SHARED_FORMULA_17_4_17_4_5">#REF!</definedName>
    <definedName name="SHARED_FORMULA_17_43_17_43_5" localSheetId="11">#REF!</definedName>
    <definedName name="SHARED_FORMULA_17_43_17_43_5" localSheetId="12">#REF!</definedName>
    <definedName name="SHARED_FORMULA_17_43_17_43_5" localSheetId="24">#REF!</definedName>
    <definedName name="SHARED_FORMULA_17_43_17_43_5">#REF!</definedName>
    <definedName name="SHARED_FORMULA_17_47_17_47_5" localSheetId="11">#REF!</definedName>
    <definedName name="SHARED_FORMULA_17_47_17_47_5" localSheetId="12">#REF!</definedName>
    <definedName name="SHARED_FORMULA_17_47_17_47_5" localSheetId="24">#REF!</definedName>
    <definedName name="SHARED_FORMULA_17_47_17_47_5">#REF!</definedName>
    <definedName name="SHARED_FORMULA_17_52_17_52_5" localSheetId="11">#REF!</definedName>
    <definedName name="SHARED_FORMULA_17_52_17_52_5" localSheetId="12">#REF!</definedName>
    <definedName name="SHARED_FORMULA_17_52_17_52_5" localSheetId="24">#REF!</definedName>
    <definedName name="SHARED_FORMULA_17_52_17_52_5">#REF!</definedName>
    <definedName name="SHARED_FORMULA_17_57_17_57_5" localSheetId="11">#REF!</definedName>
    <definedName name="SHARED_FORMULA_17_57_17_57_5" localSheetId="12">#REF!</definedName>
    <definedName name="SHARED_FORMULA_17_57_17_57_5" localSheetId="24">#REF!</definedName>
    <definedName name="SHARED_FORMULA_17_57_17_57_5">#REF!</definedName>
    <definedName name="SHARED_FORMULA_17_62_17_62_5" localSheetId="11">#REF!</definedName>
    <definedName name="SHARED_FORMULA_17_62_17_62_5" localSheetId="12">#REF!</definedName>
    <definedName name="SHARED_FORMULA_17_62_17_62_5" localSheetId="24">#REF!</definedName>
    <definedName name="SHARED_FORMULA_17_62_17_62_5">#REF!</definedName>
    <definedName name="SHARED_FORMULA_17_67_17_67_5" localSheetId="11">#REF!</definedName>
    <definedName name="SHARED_FORMULA_17_67_17_67_5" localSheetId="12">#REF!</definedName>
    <definedName name="SHARED_FORMULA_17_67_17_67_5" localSheetId="24">#REF!</definedName>
    <definedName name="SHARED_FORMULA_17_67_17_67_5">#REF!</definedName>
    <definedName name="SHARED_FORMULA_17_77_17_77_5" localSheetId="11">#REF!</definedName>
    <definedName name="SHARED_FORMULA_17_77_17_77_5" localSheetId="12">#REF!</definedName>
    <definedName name="SHARED_FORMULA_17_77_17_77_5" localSheetId="24">#REF!</definedName>
    <definedName name="SHARED_FORMULA_17_77_17_77_5">#REF!</definedName>
    <definedName name="SHARED_FORMULA_17_82_17_82_5" localSheetId="11">#REF!</definedName>
    <definedName name="SHARED_FORMULA_17_82_17_82_5" localSheetId="12">#REF!</definedName>
    <definedName name="SHARED_FORMULA_17_82_17_82_5" localSheetId="24">#REF!</definedName>
    <definedName name="SHARED_FORMULA_17_82_17_82_5">#REF!</definedName>
    <definedName name="SHARED_FORMULA_17_9_17_9_5" localSheetId="11">#REF!</definedName>
    <definedName name="SHARED_FORMULA_17_9_17_9_5" localSheetId="12">#REF!</definedName>
    <definedName name="SHARED_FORMULA_17_9_17_9_5" localSheetId="24">#REF!</definedName>
    <definedName name="SHARED_FORMULA_17_9_17_9_5">#REF!</definedName>
    <definedName name="SHARED_FORMULA_17_92_17_92_5" localSheetId="11">#REF!</definedName>
    <definedName name="SHARED_FORMULA_17_92_17_92_5" localSheetId="12">#REF!</definedName>
    <definedName name="SHARED_FORMULA_17_92_17_92_5" localSheetId="24">#REF!</definedName>
    <definedName name="SHARED_FORMULA_17_92_17_92_5">#REF!</definedName>
    <definedName name="SHARED_FORMULA_17_97_17_97_5" localSheetId="11">#REF!</definedName>
    <definedName name="SHARED_FORMULA_17_97_17_97_5" localSheetId="12">#REF!</definedName>
    <definedName name="SHARED_FORMULA_17_97_17_97_5" localSheetId="24">#REF!</definedName>
    <definedName name="SHARED_FORMULA_17_97_17_97_5">#REF!</definedName>
    <definedName name="SHARED_FORMULA_2_102_2_102_5" localSheetId="11">#REF!</definedName>
    <definedName name="SHARED_FORMULA_2_102_2_102_5" localSheetId="12">#REF!</definedName>
    <definedName name="SHARED_FORMULA_2_102_2_102_5" localSheetId="24">#REF!</definedName>
    <definedName name="SHARED_FORMULA_2_102_2_102_5">#REF!</definedName>
    <definedName name="SHARED_FORMULA_2_107_2_107_5" localSheetId="11">#REF!</definedName>
    <definedName name="SHARED_FORMULA_2_107_2_107_5" localSheetId="12">#REF!</definedName>
    <definedName name="SHARED_FORMULA_2_107_2_107_5" localSheetId="24">#REF!</definedName>
    <definedName name="SHARED_FORMULA_2_107_2_107_5">#REF!</definedName>
    <definedName name="SHARED_FORMULA_2_112_2_112_5" localSheetId="11">#REF!</definedName>
    <definedName name="SHARED_FORMULA_2_112_2_112_5" localSheetId="12">#REF!</definedName>
    <definedName name="SHARED_FORMULA_2_112_2_112_5" localSheetId="24">#REF!</definedName>
    <definedName name="SHARED_FORMULA_2_112_2_112_5">#REF!</definedName>
    <definedName name="SHARED_FORMULA_2_121_2_121_5" localSheetId="11">#REF!+#REF!+#REF!+#REF!</definedName>
    <definedName name="SHARED_FORMULA_2_121_2_121_5" localSheetId="12">#REF!+#REF!+#REF!+#REF!</definedName>
    <definedName name="SHARED_FORMULA_2_121_2_121_5" localSheetId="24">#REF!+#REF!+#REF!+#REF!</definedName>
    <definedName name="SHARED_FORMULA_2_121_2_121_5">#REF!+#REF!+#REF!+#REF!</definedName>
    <definedName name="SHARED_FORMULA_2_122_2_122_5" localSheetId="11">#REF!+#REF!+#REF!+#REF!</definedName>
    <definedName name="SHARED_FORMULA_2_122_2_122_5" localSheetId="12">#REF!+#REF!+#REF!+#REF!</definedName>
    <definedName name="SHARED_FORMULA_2_122_2_122_5" localSheetId="24">#REF!+#REF!+#REF!+#REF!</definedName>
    <definedName name="SHARED_FORMULA_2_122_2_122_5">#REF!+#REF!+#REF!+#REF!</definedName>
    <definedName name="SHARED_FORMULA_2_123_2_123_5" localSheetId="11">#REF!+#REF!+#REF!+#REF!</definedName>
    <definedName name="SHARED_FORMULA_2_123_2_123_5" localSheetId="12">#REF!+#REF!+#REF!+#REF!</definedName>
    <definedName name="SHARED_FORMULA_2_123_2_123_5" localSheetId="24">#REF!+#REF!+#REF!+#REF!</definedName>
    <definedName name="SHARED_FORMULA_2_123_2_123_5">#REF!+#REF!+#REF!+#REF!</definedName>
    <definedName name="SHARED_FORMULA_2_124_2_124_5" localSheetId="11">#REF!+#REF!+#REF!+#REF!</definedName>
    <definedName name="SHARED_FORMULA_2_124_2_124_5" localSheetId="12">#REF!+#REF!+#REF!+#REF!</definedName>
    <definedName name="SHARED_FORMULA_2_124_2_124_5" localSheetId="24">#REF!+#REF!+#REF!+#REF!</definedName>
    <definedName name="SHARED_FORMULA_2_124_2_124_5">#REF!+#REF!+#REF!+#REF!</definedName>
    <definedName name="SHARED_FORMULA_2_125_2_125_5" localSheetId="11">#REF!+#REF!+#REF!+#REF!</definedName>
    <definedName name="SHARED_FORMULA_2_125_2_125_5" localSheetId="12">#REF!+#REF!+#REF!+#REF!</definedName>
    <definedName name="SHARED_FORMULA_2_125_2_125_5" localSheetId="24">#REF!+#REF!+#REF!+#REF!</definedName>
    <definedName name="SHARED_FORMULA_2_125_2_125_5">#REF!+#REF!+#REF!+#REF!</definedName>
    <definedName name="SHARED_FORMULA_2_127_2_127_5" localSheetId="11">#REF!</definedName>
    <definedName name="SHARED_FORMULA_2_127_2_127_5" localSheetId="12">#REF!</definedName>
    <definedName name="SHARED_FORMULA_2_127_2_127_5" localSheetId="24">#REF!</definedName>
    <definedName name="SHARED_FORMULA_2_127_2_127_5">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 localSheetId="12">#REF!+#REF!+#REF!+#REF!+#REF!+#REF!+#REF!+#REF!+#REF!+#REF!+#REF!+#REF!+#REF!+#REF!+#REF!+#REF!+#REF!+#REF!+#REF!+#REF!+#REF!+#REF!+#REF!</definedName>
    <definedName name="SHARED_FORMULA_2_131_2_131_5" localSheetId="24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 localSheetId="12">#REF!+#REF!+#REF!+#REF!+#REF!+#REF!+#REF!+#REF!+#REF!+#REF!+#REF!+#REF!+#REF!+#REF!+#REF!+#REF!+#REF!+#REF!+#REF!+#REF!+#REF!+#REF!+#REF!</definedName>
    <definedName name="SHARED_FORMULA_2_132_2_132_5" localSheetId="24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 localSheetId="12">#REF!+#REF!+#REF!+#REF!+#REF!+#REF!+#REF!+#REF!+#REF!+#REF!+#REF!+#REF!+#REF!+#REF!+#REF!+#REF!+#REF!+#REF!+#REF!+#REF!+#REF!+#REF!+#REF!</definedName>
    <definedName name="SHARED_FORMULA_2_134_2_134_5" localSheetId="24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 localSheetId="12">#REF!+#REF!+#REF!+#REF!+#REF!+#REF!+#REF!+#REF!+#REF!+#REF!+#REF!+#REF!+#REF!+#REF!+#REF!+#REF!+#REF!+#REF!+#REF!+#REF!+#REF!+#REF!+#REF!</definedName>
    <definedName name="SHARED_FORMULA_2_137_2_137_5" localSheetId="24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1">#REF!</definedName>
    <definedName name="SHARED_FORMULA_2_14_2_14_5" localSheetId="12">#REF!</definedName>
    <definedName name="SHARED_FORMULA_2_14_2_14_5" localSheetId="24">#REF!</definedName>
    <definedName name="SHARED_FORMULA_2_14_2_14_5">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 localSheetId="12">#REF!+#REF!+#REF!+#REF!+#REF!+#REF!+#REF!+#REF!+#REF!+#REF!+#REF!+#REF!+#REF!+#REF!+#REF!+#REF!+#REF!+#REF!+#REF!+#REF!+#REF!+#REF!</definedName>
    <definedName name="SHARED_FORMULA_2_140_2_140_5" localSheetId="24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 localSheetId="12">#REF!+#REF!+#REF!+#REF!+#REF!+#REF!+#REF!+#REF!+#REF!+#REF!+#REF!+#REF!+#REF!+#REF!+#REF!+#REF!+#REF!+#REF!+#REF!+#REF!+#REF!+#REF!</definedName>
    <definedName name="SHARED_FORMULA_2_141_2_141_5" localSheetId="24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 localSheetId="12">#REF!+#REF!+#REF!+#REF!+#REF!+#REF!+#REF!+#REF!+#REF!+#REF!+#REF!+#REF!+#REF!+#REF!+#REF!+#REF!+#REF!+#REF!+#REF!+#REF!+#REF!+#REF!</definedName>
    <definedName name="SHARED_FORMULA_2_142_2_142_5" localSheetId="24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 localSheetId="12">#REF!+#REF!+#REF!+#REF!+#REF!+#REF!+#REF!+#REF!+#REF!+#REF!+#REF!+#REF!+#REF!+#REF!+#REF!+#REF!+#REF!+#REF!+#REF!+#REF!+#REF!+#REF!</definedName>
    <definedName name="SHARED_FORMULA_2_143_2_143_5" localSheetId="24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 localSheetId="12">#REF!+#REF!+#REF!+#REF!+#REF!+#REF!+#REF!+#REF!+#REF!+#REF!+#REF!+#REF!+#REF!+#REF!+#REF!+#REF!+#REF!+#REF!+#REF!+#REF!+#REF!+#REF!</definedName>
    <definedName name="SHARED_FORMULA_2_144_2_144_5" localSheetId="24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 localSheetId="12">#REF!+#REF!+#REF!+#REF!+#REF!+#REF!+#REF!+#REF!+#REF!+#REF!+#REF!+#REF!+#REF!+#REF!+#REF!+#REF!+#REF!+#REF!+#REF!+#REF!+#REF!+#REF!</definedName>
    <definedName name="SHARED_FORMULA_2_145_2_145_5" localSheetId="24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1">#REF!-#REF!</definedName>
    <definedName name="SHARED_FORMULA_2_146_2_146_5" localSheetId="12">#REF!-#REF!</definedName>
    <definedName name="SHARED_FORMULA_2_146_2_146_5" localSheetId="24">#REF!-#REF!</definedName>
    <definedName name="SHARED_FORMULA_2_146_2_146_5">#REF!-#REF!</definedName>
    <definedName name="SHARED_FORMULA_2_22_2_22_5" localSheetId="11">#REF!</definedName>
    <definedName name="SHARED_FORMULA_2_22_2_22_5" localSheetId="12">#REF!</definedName>
    <definedName name="SHARED_FORMULA_2_22_2_22_5" localSheetId="24">#REF!</definedName>
    <definedName name="SHARED_FORMULA_2_22_2_22_5">#REF!</definedName>
    <definedName name="SHARED_FORMULA_2_27_2_27_5" localSheetId="11">#REF!</definedName>
    <definedName name="SHARED_FORMULA_2_27_2_27_5" localSheetId="12">#REF!</definedName>
    <definedName name="SHARED_FORMULA_2_27_2_27_5" localSheetId="24">#REF!</definedName>
    <definedName name="SHARED_FORMULA_2_27_2_27_5">#REF!</definedName>
    <definedName name="SHARED_FORMULA_2_32_2_32_5" localSheetId="11">#REF!</definedName>
    <definedName name="SHARED_FORMULA_2_32_2_32_5" localSheetId="12">#REF!</definedName>
    <definedName name="SHARED_FORMULA_2_32_2_32_5" localSheetId="24">#REF!</definedName>
    <definedName name="SHARED_FORMULA_2_32_2_32_5">#REF!</definedName>
    <definedName name="SHARED_FORMULA_2_37_2_37_5" localSheetId="11">#REF!</definedName>
    <definedName name="SHARED_FORMULA_2_37_2_37_5" localSheetId="12">#REF!</definedName>
    <definedName name="SHARED_FORMULA_2_37_2_37_5" localSheetId="24">#REF!</definedName>
    <definedName name="SHARED_FORMULA_2_37_2_37_5">#REF!</definedName>
    <definedName name="SHARED_FORMULA_2_4_2_4_5" localSheetId="11">#REF!</definedName>
    <definedName name="SHARED_FORMULA_2_4_2_4_5" localSheetId="12">#REF!</definedName>
    <definedName name="SHARED_FORMULA_2_4_2_4_5" localSheetId="24">#REF!</definedName>
    <definedName name="SHARED_FORMULA_2_4_2_4_5">#REF!</definedName>
    <definedName name="SHARED_FORMULA_2_42_2_42_5" localSheetId="11">#REF!</definedName>
    <definedName name="SHARED_FORMULA_2_42_2_42_5" localSheetId="12">#REF!</definedName>
    <definedName name="SHARED_FORMULA_2_42_2_42_5" localSheetId="24">#REF!</definedName>
    <definedName name="SHARED_FORMULA_2_42_2_42_5">#REF!</definedName>
    <definedName name="SHARED_FORMULA_2_44_2_44_5" localSheetId="11">#REF!</definedName>
    <definedName name="SHARED_FORMULA_2_44_2_44_5" localSheetId="12">#REF!</definedName>
    <definedName name="SHARED_FORMULA_2_44_2_44_5" localSheetId="24">#REF!</definedName>
    <definedName name="SHARED_FORMULA_2_44_2_44_5">#REF!</definedName>
    <definedName name="SHARED_FORMULA_2_47_2_47_5" localSheetId="11">#REF!</definedName>
    <definedName name="SHARED_FORMULA_2_47_2_47_5" localSheetId="12">#REF!</definedName>
    <definedName name="SHARED_FORMULA_2_47_2_47_5" localSheetId="24">#REF!</definedName>
    <definedName name="SHARED_FORMULA_2_47_2_47_5">#REF!</definedName>
    <definedName name="SHARED_FORMULA_2_48_2_48_5" localSheetId="11">#REF!</definedName>
    <definedName name="SHARED_FORMULA_2_48_2_48_5" localSheetId="12">#REF!</definedName>
    <definedName name="SHARED_FORMULA_2_48_2_48_5" localSheetId="24">#REF!</definedName>
    <definedName name="SHARED_FORMULA_2_48_2_48_5">#REF!</definedName>
    <definedName name="SHARED_FORMULA_2_52_2_52_5" localSheetId="11">#REF!</definedName>
    <definedName name="SHARED_FORMULA_2_52_2_52_5" localSheetId="12">#REF!</definedName>
    <definedName name="SHARED_FORMULA_2_52_2_52_5" localSheetId="24">#REF!</definedName>
    <definedName name="SHARED_FORMULA_2_52_2_52_5">#REF!</definedName>
    <definedName name="SHARED_FORMULA_2_57_2_57_5" localSheetId="11">#REF!</definedName>
    <definedName name="SHARED_FORMULA_2_57_2_57_5" localSheetId="12">#REF!</definedName>
    <definedName name="SHARED_FORMULA_2_57_2_57_5" localSheetId="24">#REF!</definedName>
    <definedName name="SHARED_FORMULA_2_57_2_57_5">#REF!</definedName>
    <definedName name="SHARED_FORMULA_2_67_2_67_5" localSheetId="11">#REF!</definedName>
    <definedName name="SHARED_FORMULA_2_67_2_67_5" localSheetId="12">#REF!</definedName>
    <definedName name="SHARED_FORMULA_2_67_2_67_5" localSheetId="24">#REF!</definedName>
    <definedName name="SHARED_FORMULA_2_67_2_67_5">#REF!</definedName>
    <definedName name="SHARED_FORMULA_2_71_2_71_5" localSheetId="11">#REF!+#REF!+#REF!+#REF!</definedName>
    <definedName name="SHARED_FORMULA_2_71_2_71_5" localSheetId="12">#REF!+#REF!+#REF!+#REF!</definedName>
    <definedName name="SHARED_FORMULA_2_71_2_71_5" localSheetId="24">#REF!+#REF!+#REF!+#REF!</definedName>
    <definedName name="SHARED_FORMULA_2_71_2_71_5">#REF!+#REF!+#REF!+#REF!</definedName>
    <definedName name="SHARED_FORMULA_2_72_2_72_5" localSheetId="11">#REF!+#REF!+#REF!+#REF!</definedName>
    <definedName name="SHARED_FORMULA_2_72_2_72_5" localSheetId="12">#REF!+#REF!+#REF!+#REF!</definedName>
    <definedName name="SHARED_FORMULA_2_72_2_72_5" localSheetId="24">#REF!+#REF!+#REF!+#REF!</definedName>
    <definedName name="SHARED_FORMULA_2_72_2_72_5">#REF!+#REF!+#REF!+#REF!</definedName>
    <definedName name="SHARED_FORMULA_2_73_2_73_5" localSheetId="11">#REF!+#REF!+#REF!+#REF!</definedName>
    <definedName name="SHARED_FORMULA_2_73_2_73_5" localSheetId="12">#REF!+#REF!+#REF!+#REF!</definedName>
    <definedName name="SHARED_FORMULA_2_73_2_73_5" localSheetId="24">#REF!+#REF!+#REF!+#REF!</definedName>
    <definedName name="SHARED_FORMULA_2_73_2_73_5">#REF!+#REF!+#REF!+#REF!</definedName>
    <definedName name="SHARED_FORMULA_2_74_2_74_5" localSheetId="11">#REF!+#REF!+#REF!+#REF!</definedName>
    <definedName name="SHARED_FORMULA_2_74_2_74_5" localSheetId="12">#REF!+#REF!+#REF!+#REF!</definedName>
    <definedName name="SHARED_FORMULA_2_74_2_74_5" localSheetId="24">#REF!+#REF!+#REF!+#REF!</definedName>
    <definedName name="SHARED_FORMULA_2_74_2_74_5">#REF!+#REF!+#REF!+#REF!</definedName>
    <definedName name="SHARED_FORMULA_2_75_2_75_5" localSheetId="11">#REF!+#REF!+#REF!+#REF!</definedName>
    <definedName name="SHARED_FORMULA_2_75_2_75_5" localSheetId="12">#REF!+#REF!+#REF!+#REF!</definedName>
    <definedName name="SHARED_FORMULA_2_75_2_75_5" localSheetId="24">#REF!+#REF!+#REF!+#REF!</definedName>
    <definedName name="SHARED_FORMULA_2_75_2_75_5">#REF!+#REF!+#REF!+#REF!</definedName>
    <definedName name="SHARED_FORMULA_2_82_2_82_5" localSheetId="11">#REF!</definedName>
    <definedName name="SHARED_FORMULA_2_82_2_82_5" localSheetId="12">#REF!</definedName>
    <definedName name="SHARED_FORMULA_2_82_2_82_5" localSheetId="24">#REF!</definedName>
    <definedName name="SHARED_FORMULA_2_82_2_82_5">#REF!</definedName>
    <definedName name="SHARED_FORMULA_2_86_2_86_5" localSheetId="11">#REF!+#REF!</definedName>
    <definedName name="SHARED_FORMULA_2_86_2_86_5" localSheetId="12">#REF!+#REF!</definedName>
    <definedName name="SHARED_FORMULA_2_86_2_86_5" localSheetId="24">#REF!+#REF!</definedName>
    <definedName name="SHARED_FORMULA_2_86_2_86_5">#REF!+#REF!</definedName>
    <definedName name="SHARED_FORMULA_2_87_2_87_5" localSheetId="11">#REF!+#REF!</definedName>
    <definedName name="SHARED_FORMULA_2_87_2_87_5" localSheetId="12">#REF!+#REF!</definedName>
    <definedName name="SHARED_FORMULA_2_87_2_87_5" localSheetId="24">#REF!+#REF!</definedName>
    <definedName name="SHARED_FORMULA_2_87_2_87_5">#REF!+#REF!</definedName>
    <definedName name="SHARED_FORMULA_2_88_2_88_5" localSheetId="11">#REF!+#REF!</definedName>
    <definedName name="SHARED_FORMULA_2_88_2_88_5" localSheetId="12">#REF!+#REF!</definedName>
    <definedName name="SHARED_FORMULA_2_88_2_88_5" localSheetId="24">#REF!+#REF!</definedName>
    <definedName name="SHARED_FORMULA_2_88_2_88_5">#REF!+#REF!</definedName>
    <definedName name="SHARED_FORMULA_2_89_2_89_5" localSheetId="11">#REF!+#REF!</definedName>
    <definedName name="SHARED_FORMULA_2_89_2_89_5" localSheetId="12">#REF!+#REF!</definedName>
    <definedName name="SHARED_FORMULA_2_89_2_89_5" localSheetId="24">#REF!+#REF!</definedName>
    <definedName name="SHARED_FORMULA_2_89_2_89_5">#REF!+#REF!</definedName>
    <definedName name="SHARED_FORMULA_2_9_2_9_5" localSheetId="11">#REF!</definedName>
    <definedName name="SHARED_FORMULA_2_9_2_9_5" localSheetId="12">#REF!</definedName>
    <definedName name="SHARED_FORMULA_2_9_2_9_5" localSheetId="24">#REF!</definedName>
    <definedName name="SHARED_FORMULA_2_9_2_9_5">#REF!</definedName>
    <definedName name="SHARED_FORMULA_2_90_2_90_5" localSheetId="11">#REF!+#REF!</definedName>
    <definedName name="SHARED_FORMULA_2_90_2_90_5" localSheetId="12">#REF!+#REF!</definedName>
    <definedName name="SHARED_FORMULA_2_90_2_90_5" localSheetId="24">#REF!+#REF!</definedName>
    <definedName name="SHARED_FORMULA_2_90_2_90_5">#REF!+#REF!</definedName>
    <definedName name="SHARED_FORMULA_2_92_2_92_5" localSheetId="11">#REF!</definedName>
    <definedName name="SHARED_FORMULA_2_92_2_92_5" localSheetId="12">#REF!</definedName>
    <definedName name="SHARED_FORMULA_2_92_2_92_5" localSheetId="24">#REF!</definedName>
    <definedName name="SHARED_FORMULA_2_92_2_92_5">#REF!</definedName>
    <definedName name="SHARED_FORMULA_2_97_2_97_5" localSheetId="11">#REF!</definedName>
    <definedName name="SHARED_FORMULA_2_97_2_97_5" localSheetId="12">#REF!</definedName>
    <definedName name="SHARED_FORMULA_2_97_2_97_5" localSheetId="24">#REF!</definedName>
    <definedName name="SHARED_FORMULA_2_97_2_97_5">#REF!</definedName>
    <definedName name="SHARED_FORMULA_20_10_20_10_5" localSheetId="11">#REF!</definedName>
    <definedName name="SHARED_FORMULA_20_10_20_10_5" localSheetId="12">#REF!</definedName>
    <definedName name="SHARED_FORMULA_20_10_20_10_5" localSheetId="24">#REF!</definedName>
    <definedName name="SHARED_FORMULA_20_10_20_10_5">#REF!</definedName>
    <definedName name="SHARED_FORMULA_20_102_20_102_5" localSheetId="11">#REF!</definedName>
    <definedName name="SHARED_FORMULA_20_102_20_102_5" localSheetId="12">#REF!</definedName>
    <definedName name="SHARED_FORMULA_20_102_20_102_5" localSheetId="24">#REF!</definedName>
    <definedName name="SHARED_FORMULA_20_102_20_102_5">#REF!</definedName>
    <definedName name="SHARED_FORMULA_20_112_20_112_5" localSheetId="11">#REF!</definedName>
    <definedName name="SHARED_FORMULA_20_112_20_112_5" localSheetId="12">#REF!</definedName>
    <definedName name="SHARED_FORMULA_20_112_20_112_5" localSheetId="24">#REF!</definedName>
    <definedName name="SHARED_FORMULA_20_112_20_112_5">#REF!</definedName>
    <definedName name="SHARED_FORMULA_20_117_20_117_5" localSheetId="11">#REF!</definedName>
    <definedName name="SHARED_FORMULA_20_117_20_117_5" localSheetId="12">#REF!</definedName>
    <definedName name="SHARED_FORMULA_20_117_20_117_5" localSheetId="24">#REF!</definedName>
    <definedName name="SHARED_FORMULA_20_117_20_117_5">#REF!</definedName>
    <definedName name="SHARED_FORMULA_20_121_20_121_5" localSheetId="11">#REF!+#REF!+#REF!+#REF!</definedName>
    <definedName name="SHARED_FORMULA_20_121_20_121_5" localSheetId="12">#REF!+#REF!+#REF!+#REF!</definedName>
    <definedName name="SHARED_FORMULA_20_121_20_121_5" localSheetId="24">#REF!+#REF!+#REF!+#REF!</definedName>
    <definedName name="SHARED_FORMULA_20_121_20_121_5">#REF!+#REF!+#REF!+#REF!</definedName>
    <definedName name="SHARED_FORMULA_20_127_20_127_5" localSheetId="11">#REF!</definedName>
    <definedName name="SHARED_FORMULA_20_127_20_127_5" localSheetId="12">#REF!</definedName>
    <definedName name="SHARED_FORMULA_20_127_20_127_5" localSheetId="24">#REF!</definedName>
    <definedName name="SHARED_FORMULA_20_127_20_127_5">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 localSheetId="12">#REF!+#REF!+#REF!+#REF!+#REF!+#REF!+#REF!+#REF!+#REF!+#REF!+#REF!+#REF!+#REF!+#REF!+#REF!+#REF!+#REF!+#REF!+#REF!+#REF!+#REF!+#REF!+#REF!</definedName>
    <definedName name="SHARED_FORMULA_20_131_20_131_5" localSheetId="24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1">#REF!</definedName>
    <definedName name="SHARED_FORMULA_20_14_20_14_5" localSheetId="12">#REF!</definedName>
    <definedName name="SHARED_FORMULA_20_14_20_14_5" localSheetId="24">#REF!</definedName>
    <definedName name="SHARED_FORMULA_20_14_20_14_5">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 localSheetId="12">#REF!+#REF!+#REF!+#REF!+#REF!+#REF!+#REF!+#REF!+#REF!+#REF!+#REF!+#REF!+#REF!+#REF!+#REF!+#REF!+#REF!+#REF!+#REF!+#REF!+#REF!+#REF!</definedName>
    <definedName name="SHARED_FORMULA_20_141_20_141_5" localSheetId="24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1">#REF!</definedName>
    <definedName name="SHARED_FORMULA_20_19_20_19_5" localSheetId="12">#REF!</definedName>
    <definedName name="SHARED_FORMULA_20_19_20_19_5" localSheetId="24">#REF!</definedName>
    <definedName name="SHARED_FORMULA_20_19_20_19_5">#REF!</definedName>
    <definedName name="SHARED_FORMULA_20_22_20_22_5" localSheetId="11">#REF!</definedName>
    <definedName name="SHARED_FORMULA_20_22_20_22_5" localSheetId="12">#REF!</definedName>
    <definedName name="SHARED_FORMULA_20_22_20_22_5" localSheetId="24">#REF!</definedName>
    <definedName name="SHARED_FORMULA_20_22_20_22_5">#REF!</definedName>
    <definedName name="SHARED_FORMULA_20_27_20_27_5" localSheetId="11">#REF!</definedName>
    <definedName name="SHARED_FORMULA_20_27_20_27_5" localSheetId="12">#REF!</definedName>
    <definedName name="SHARED_FORMULA_20_27_20_27_5" localSheetId="24">#REF!</definedName>
    <definedName name="SHARED_FORMULA_20_27_20_27_5">#REF!</definedName>
    <definedName name="SHARED_FORMULA_20_33_20_33_5" localSheetId="11">#REF!</definedName>
    <definedName name="SHARED_FORMULA_20_33_20_33_5" localSheetId="12">#REF!</definedName>
    <definedName name="SHARED_FORMULA_20_33_20_33_5" localSheetId="24">#REF!</definedName>
    <definedName name="SHARED_FORMULA_20_33_20_33_5">#REF!</definedName>
    <definedName name="SHARED_FORMULA_20_37_20_37_5" localSheetId="11">#REF!</definedName>
    <definedName name="SHARED_FORMULA_20_37_20_37_5" localSheetId="12">#REF!</definedName>
    <definedName name="SHARED_FORMULA_20_37_20_37_5" localSheetId="24">#REF!</definedName>
    <definedName name="SHARED_FORMULA_20_37_20_37_5">#REF!</definedName>
    <definedName name="SHARED_FORMULA_20_42_20_42_5" localSheetId="11">#REF!</definedName>
    <definedName name="SHARED_FORMULA_20_42_20_42_5" localSheetId="12">#REF!</definedName>
    <definedName name="SHARED_FORMULA_20_42_20_42_5" localSheetId="24">#REF!</definedName>
    <definedName name="SHARED_FORMULA_20_42_20_42_5">#REF!</definedName>
    <definedName name="SHARED_FORMULA_20_57_20_57_5" localSheetId="11">#REF!</definedName>
    <definedName name="SHARED_FORMULA_20_57_20_57_5" localSheetId="12">#REF!</definedName>
    <definedName name="SHARED_FORMULA_20_57_20_57_5" localSheetId="24">#REF!</definedName>
    <definedName name="SHARED_FORMULA_20_57_20_57_5">#REF!</definedName>
    <definedName name="SHARED_FORMULA_20_63_20_63_5" localSheetId="11">#REF!</definedName>
    <definedName name="SHARED_FORMULA_20_63_20_63_5" localSheetId="12">#REF!</definedName>
    <definedName name="SHARED_FORMULA_20_63_20_63_5" localSheetId="24">#REF!</definedName>
    <definedName name="SHARED_FORMULA_20_63_20_63_5">#REF!</definedName>
    <definedName name="SHARED_FORMULA_20_67_20_67_5" localSheetId="11">#REF!</definedName>
    <definedName name="SHARED_FORMULA_20_67_20_67_5" localSheetId="12">#REF!</definedName>
    <definedName name="SHARED_FORMULA_20_67_20_67_5" localSheetId="24">#REF!</definedName>
    <definedName name="SHARED_FORMULA_20_67_20_67_5">#REF!</definedName>
    <definedName name="SHARED_FORMULA_20_78_20_78_5" localSheetId="11">#REF!</definedName>
    <definedName name="SHARED_FORMULA_20_78_20_78_5" localSheetId="12">#REF!</definedName>
    <definedName name="SHARED_FORMULA_20_78_20_78_5" localSheetId="24">#REF!</definedName>
    <definedName name="SHARED_FORMULA_20_78_20_78_5">#REF!</definedName>
    <definedName name="SHARED_FORMULA_20_82_20_82_5" localSheetId="11">#REF!</definedName>
    <definedName name="SHARED_FORMULA_20_82_20_82_5" localSheetId="12">#REF!</definedName>
    <definedName name="SHARED_FORMULA_20_82_20_82_5" localSheetId="24">#REF!</definedName>
    <definedName name="SHARED_FORMULA_20_82_20_82_5">#REF!</definedName>
    <definedName name="SHARED_FORMULA_20_86_20_86_5" localSheetId="11">#REF!+#REF!</definedName>
    <definedName name="SHARED_FORMULA_20_86_20_86_5" localSheetId="12">#REF!+#REF!</definedName>
    <definedName name="SHARED_FORMULA_20_86_20_86_5" localSheetId="24">#REF!+#REF!</definedName>
    <definedName name="SHARED_FORMULA_20_86_20_86_5">#REF!+#REF!</definedName>
    <definedName name="SHARED_FORMULA_20_92_20_92_5" localSheetId="11">#REF!</definedName>
    <definedName name="SHARED_FORMULA_20_92_20_92_5" localSheetId="12">#REF!</definedName>
    <definedName name="SHARED_FORMULA_20_92_20_92_5" localSheetId="24">#REF!</definedName>
    <definedName name="SHARED_FORMULA_20_92_20_92_5">#REF!</definedName>
    <definedName name="SHARED_FORMULA_23_3_23_3_5" localSheetId="11">SUM(#REF!)-#REF!</definedName>
    <definedName name="SHARED_FORMULA_23_3_23_3_5" localSheetId="12">SUM(#REF!)-#REF!</definedName>
    <definedName name="SHARED_FORMULA_23_3_23_3_5" localSheetId="24">SUM(#REF!)-#REF!</definedName>
    <definedName name="SHARED_FORMULA_23_3_23_3_5">SUM(#REF!)-#REF!</definedName>
    <definedName name="SHARED_FORMULA_23_32_23_32_5" localSheetId="11">SUM(#REF!)-#REF!</definedName>
    <definedName name="SHARED_FORMULA_23_32_23_32_5" localSheetId="12">SUM(#REF!)-#REF!</definedName>
    <definedName name="SHARED_FORMULA_23_32_23_32_5" localSheetId="24">SUM(#REF!)-#REF!</definedName>
    <definedName name="SHARED_FORMULA_23_32_23_32_5">SUM(#REF!)-#REF!</definedName>
    <definedName name="SHARED_FORMULA_23_64_23_64_5" localSheetId="11">SUM(#REF!)-#REF!</definedName>
    <definedName name="SHARED_FORMULA_23_64_23_64_5" localSheetId="12">SUM(#REF!)-#REF!</definedName>
    <definedName name="SHARED_FORMULA_23_64_23_64_5" localSheetId="24">SUM(#REF!)-#REF!</definedName>
    <definedName name="SHARED_FORMULA_23_64_23_64_5">SUM(#REF!)-#REF!</definedName>
    <definedName name="SHARED_FORMULA_23_96_23_96_5" localSheetId="11">SUM(#REF!)-#REF!</definedName>
    <definedName name="SHARED_FORMULA_23_96_23_96_5" localSheetId="12">SUM(#REF!)-#REF!</definedName>
    <definedName name="SHARED_FORMULA_23_96_23_96_5" localSheetId="24">SUM(#REF!)-#REF!</definedName>
    <definedName name="SHARED_FORMULA_23_96_23_96_5">SUM(#REF!)-#REF!</definedName>
    <definedName name="SHARED_FORMULA_25_131_25_131_5" localSheetId="11">SUM(#REF!)-#REF!</definedName>
    <definedName name="SHARED_FORMULA_25_131_25_131_5" localSheetId="12">SUM(#REF!)-#REF!</definedName>
    <definedName name="SHARED_FORMULA_25_131_25_131_5" localSheetId="24">SUM(#REF!)-#REF!</definedName>
    <definedName name="SHARED_FORMULA_25_131_25_131_5">SUM(#REF!)-#REF!</definedName>
    <definedName name="SHARED_FORMULA_3_10_3_10_3" localSheetId="11">SUM(#REF!)</definedName>
    <definedName name="SHARED_FORMULA_3_10_3_10_3" localSheetId="12">SUM(#REF!)</definedName>
    <definedName name="SHARED_FORMULA_3_10_3_10_3" localSheetId="24">SUM(#REF!)</definedName>
    <definedName name="SHARED_FORMULA_3_10_3_10_3">SUM(#REF!)</definedName>
    <definedName name="SHARED_FORMULA_3_308_3_308_4" localSheetId="11">SUM(#REF!+#REF!+#REF!)</definedName>
    <definedName name="SHARED_FORMULA_3_308_3_308_4" localSheetId="12">SUM(#REF!+#REF!+#REF!)</definedName>
    <definedName name="SHARED_FORMULA_3_308_3_308_4" localSheetId="24">SUM(#REF!+#REF!+#REF!)</definedName>
    <definedName name="SHARED_FORMULA_3_308_3_308_4">SUM(#REF!+#REF!+#REF!)</definedName>
    <definedName name="SHARED_FORMULA_3_309_3_309_4" localSheetId="11">#REF!+#REF!+#REF!</definedName>
    <definedName name="SHARED_FORMULA_3_309_3_309_4" localSheetId="12">#REF!+#REF!+#REF!</definedName>
    <definedName name="SHARED_FORMULA_3_309_3_309_4" localSheetId="24">#REF!+#REF!+#REF!</definedName>
    <definedName name="SHARED_FORMULA_3_309_3_309_4">#REF!+#REF!+#REF!</definedName>
    <definedName name="SHARED_FORMULA_3_312_3_312_4" localSheetId="11">SUM(#REF!+#REF!+#REF!)</definedName>
    <definedName name="SHARED_FORMULA_3_312_3_312_4" localSheetId="12">SUM(#REF!+#REF!+#REF!)</definedName>
    <definedName name="SHARED_FORMULA_3_312_3_312_4" localSheetId="24">SUM(#REF!+#REF!+#REF!)</definedName>
    <definedName name="SHARED_FORMULA_3_312_3_312_4">SUM(#REF!+#REF!+#REF!)</definedName>
    <definedName name="SHARED_FORMULA_3_32_3_32_2" localSheetId="11">SUM(#REF!)</definedName>
    <definedName name="SHARED_FORMULA_3_32_3_32_2" localSheetId="12">SUM(#REF!)</definedName>
    <definedName name="SHARED_FORMULA_3_32_3_32_2" localSheetId="24">SUM(#REF!)</definedName>
    <definedName name="SHARED_FORMULA_3_32_3_32_2">SUM(#REF!)</definedName>
    <definedName name="SHARED_FORMULA_3_320_3_320_4" localSheetId="11">SUM(#REF!+#REF!+#REF!+#REF!)</definedName>
    <definedName name="SHARED_FORMULA_3_320_3_320_4" localSheetId="12">SUM(#REF!+#REF!+#REF!+#REF!)</definedName>
    <definedName name="SHARED_FORMULA_3_320_3_320_4" localSheetId="24">SUM(#REF!+#REF!+#REF!+#REF!)</definedName>
    <definedName name="SHARED_FORMULA_3_320_3_320_4">SUM(#REF!+#REF!+#REF!+#REF!)</definedName>
    <definedName name="SHARED_FORMULA_3_321_3_321_4" localSheetId="11">SUM(#REF!+#REF!+#REF!+#REF!)</definedName>
    <definedName name="SHARED_FORMULA_3_321_3_321_4" localSheetId="12">SUM(#REF!+#REF!+#REF!+#REF!)</definedName>
    <definedName name="SHARED_FORMULA_3_321_3_321_4" localSheetId="24">SUM(#REF!+#REF!+#REF!+#REF!)</definedName>
    <definedName name="SHARED_FORMULA_3_321_3_321_4">SUM(#REF!+#REF!+#REF!+#REF!)</definedName>
    <definedName name="SHARED_FORMULA_3_37_3_37_2" localSheetId="11">SUM(#REF!)</definedName>
    <definedName name="SHARED_FORMULA_3_37_3_37_2" localSheetId="12">SUM(#REF!)</definedName>
    <definedName name="SHARED_FORMULA_3_37_3_37_2" localSheetId="24">SUM(#REF!)</definedName>
    <definedName name="SHARED_FORMULA_3_37_3_37_2">SUM(#REF!)</definedName>
    <definedName name="SHARED_FORMULA_3_47_3_47_2" localSheetId="11">SUM(#REF!)</definedName>
    <definedName name="SHARED_FORMULA_3_47_3_47_2" localSheetId="12">SUM(#REF!)</definedName>
    <definedName name="SHARED_FORMULA_3_47_3_47_2" localSheetId="24">SUM(#REF!)</definedName>
    <definedName name="SHARED_FORMULA_3_47_3_47_2">SUM(#REF!)</definedName>
    <definedName name="SHARED_FORMULA_3_59_3_59_5" localSheetId="11">#REF!</definedName>
    <definedName name="SHARED_FORMULA_3_59_3_59_5" localSheetId="12">#REF!</definedName>
    <definedName name="SHARED_FORMULA_3_59_3_59_5" localSheetId="24">#REF!</definedName>
    <definedName name="SHARED_FORMULA_3_59_3_59_5">#REF!</definedName>
    <definedName name="SHARED_FORMULA_3_77_3_77_5" localSheetId="11">#REF!</definedName>
    <definedName name="SHARED_FORMULA_3_77_3_77_5" localSheetId="12">#REF!</definedName>
    <definedName name="SHARED_FORMULA_3_77_3_77_5" localSheetId="24">#REF!</definedName>
    <definedName name="SHARED_FORMULA_3_77_3_77_5">#REF!</definedName>
    <definedName name="SHARED_FORMULA_3_94_3_94_5" localSheetId="11">#REF!</definedName>
    <definedName name="SHARED_FORMULA_3_94_3_94_5" localSheetId="12">#REF!</definedName>
    <definedName name="SHARED_FORMULA_3_94_3_94_5" localSheetId="24">#REF!</definedName>
    <definedName name="SHARED_FORMULA_3_94_3_94_5">#REF!</definedName>
    <definedName name="SHARED_FORMULA_4_133_4_133_5" localSheetId="11">SUM(#REF!)-#REF!-#REF!-#REF!</definedName>
    <definedName name="SHARED_FORMULA_4_133_4_133_5" localSheetId="12">SUM(#REF!)-#REF!-#REF!-#REF!</definedName>
    <definedName name="SHARED_FORMULA_4_133_4_133_5" localSheetId="24">SUM(#REF!)-#REF!-#REF!-#REF!</definedName>
    <definedName name="SHARED_FORMULA_4_133_4_133_5">SUM(#REF!)-#REF!-#REF!-#REF!</definedName>
    <definedName name="SHARED_FORMULA_4_136_4_136_4" localSheetId="11">SUM(#REF!)</definedName>
    <definedName name="SHARED_FORMULA_4_136_4_136_4" localSheetId="12">SUM(#REF!)</definedName>
    <definedName name="SHARED_FORMULA_4_136_4_136_4" localSheetId="24">SUM(#REF!)</definedName>
    <definedName name="SHARED_FORMULA_4_136_4_136_4">SUM(#REF!)</definedName>
    <definedName name="SHARED_FORMULA_4_200_4_200_4" localSheetId="11">SUM(#REF!)</definedName>
    <definedName name="SHARED_FORMULA_4_200_4_200_4" localSheetId="12">SUM(#REF!)</definedName>
    <definedName name="SHARED_FORMULA_4_200_4_200_4" localSheetId="24">SUM(#REF!)</definedName>
    <definedName name="SHARED_FORMULA_4_200_4_200_4">SUM(#REF!)</definedName>
    <definedName name="SHARED_FORMULA_4_264_4_264_4" localSheetId="11">SUM(#REF!)</definedName>
    <definedName name="SHARED_FORMULA_4_264_4_264_4" localSheetId="12">SUM(#REF!)</definedName>
    <definedName name="SHARED_FORMULA_4_264_4_264_4" localSheetId="24">SUM(#REF!)</definedName>
    <definedName name="SHARED_FORMULA_4_264_4_264_4">SUM(#REF!)</definedName>
    <definedName name="SHARED_FORMULA_4_322_4_322_4" localSheetId="11">SUM(#REF!,#REF!,#REF!)</definedName>
    <definedName name="SHARED_FORMULA_4_322_4_322_4" localSheetId="12">SUM(#REF!,#REF!,#REF!)</definedName>
    <definedName name="SHARED_FORMULA_4_322_4_322_4" localSheetId="24">SUM(#REF!,#REF!,#REF!)</definedName>
    <definedName name="SHARED_FORMULA_4_322_4_322_4">SUM(#REF!,#REF!,#REF!)</definedName>
    <definedName name="SHARED_FORMULA_4_43_4_43_3" localSheetId="11">SUM(#REF!,#REF!,#REF!,#REF!,#REF!,#REF!,#REF!,#REF!,#REF!,#REF!,#REF!,#REF!,#REF!,#REF!)</definedName>
    <definedName name="SHARED_FORMULA_4_43_4_43_3" localSheetId="12">SUM(#REF!,#REF!,#REF!,#REF!,#REF!,#REF!,#REF!,#REF!,#REF!,#REF!,#REF!,#REF!,#REF!,#REF!)</definedName>
    <definedName name="SHARED_FORMULA_4_43_4_43_3" localSheetId="24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 localSheetId="12">SUM(#REF!,#REF!,#REF!,#REF!,#REF!,#REF!,#REF!,#REF!,#REF!,#REF!,#REF!)</definedName>
    <definedName name="SHARED_FORMULA_4_58_4_58_2" localSheetId="24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1">SUM(#REF!)</definedName>
    <definedName name="SHARED_FORMULA_4_73_4_73_4" localSheetId="12">SUM(#REF!)</definedName>
    <definedName name="SHARED_FORMULA_4_73_4_73_4" localSheetId="24">SUM(#REF!)</definedName>
    <definedName name="SHARED_FORMULA_4_73_4_73_4">SUM(#REF!)</definedName>
    <definedName name="SHARED_FORMULA_4_8_4_8_4" localSheetId="11">SUM(#REF!)</definedName>
    <definedName name="SHARED_FORMULA_4_8_4_8_4" localSheetId="12">SUM(#REF!)</definedName>
    <definedName name="SHARED_FORMULA_4_8_4_8_4" localSheetId="24">SUM(#REF!)</definedName>
    <definedName name="SHARED_FORMULA_4_8_4_8_4">SUM(#REF!)</definedName>
    <definedName name="SHARED_FORMULA_4_9_4_9_3" localSheetId="11">SUM(#REF!)</definedName>
    <definedName name="SHARED_FORMULA_4_9_4_9_3" localSheetId="12">SUM(#REF!)</definedName>
    <definedName name="SHARED_FORMULA_4_9_4_9_3" localSheetId="24">SUM(#REF!)</definedName>
    <definedName name="SHARED_FORMULA_4_9_4_9_3">SUM(#REF!)</definedName>
    <definedName name="SHARED_FORMULA_5_108_5_108_5" localSheetId="11">#REF!</definedName>
    <definedName name="SHARED_FORMULA_5_108_5_108_5" localSheetId="12">#REF!</definedName>
    <definedName name="SHARED_FORMULA_5_108_5_108_5" localSheetId="24">#REF!</definedName>
    <definedName name="SHARED_FORMULA_5_108_5_108_5">#REF!</definedName>
    <definedName name="SHARED_FORMULA_5_109_5_109_5" localSheetId="11">#REF!</definedName>
    <definedName name="SHARED_FORMULA_5_109_5_109_5" localSheetId="12">#REF!</definedName>
    <definedName name="SHARED_FORMULA_5_109_5_109_5" localSheetId="24">#REF!</definedName>
    <definedName name="SHARED_FORMULA_5_109_5_109_5">#REF!</definedName>
    <definedName name="SHARED_FORMULA_5_129_5_129_5" localSheetId="11">#REF!</definedName>
    <definedName name="SHARED_FORMULA_5_129_5_129_5" localSheetId="12">#REF!</definedName>
    <definedName name="SHARED_FORMULA_5_129_5_129_5" localSheetId="24">#REF!</definedName>
    <definedName name="SHARED_FORMULA_5_129_5_129_5">#REF!</definedName>
    <definedName name="SHARED_FORMULA_5_19_5_19_5" localSheetId="11">#REF!</definedName>
    <definedName name="SHARED_FORMULA_5_19_5_19_5" localSheetId="12">#REF!</definedName>
    <definedName name="SHARED_FORMULA_5_19_5_19_5" localSheetId="24">#REF!</definedName>
    <definedName name="SHARED_FORMULA_5_19_5_19_5">#REF!</definedName>
    <definedName name="SHARED_FORMULA_5_28_5_28_5" localSheetId="11">#REF!</definedName>
    <definedName name="SHARED_FORMULA_5_28_5_28_5" localSheetId="12">#REF!</definedName>
    <definedName name="SHARED_FORMULA_5_28_5_28_5" localSheetId="24">#REF!</definedName>
    <definedName name="SHARED_FORMULA_5_28_5_28_5">#REF!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2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2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2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2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1">#REF!</definedName>
    <definedName name="SHARED_FORMULA_5_35_5_35_5" localSheetId="12">#REF!</definedName>
    <definedName name="SHARED_FORMULA_5_35_5_35_5" localSheetId="24">#REF!</definedName>
    <definedName name="SHARED_FORMULA_5_35_5_35_5">#REF!</definedName>
    <definedName name="SHARED_FORMULA_5_69_5_69_5" localSheetId="11">#REF!</definedName>
    <definedName name="SHARED_FORMULA_5_69_5_69_5" localSheetId="12">#REF!</definedName>
    <definedName name="SHARED_FORMULA_5_69_5_69_5" localSheetId="24">#REF!</definedName>
    <definedName name="SHARED_FORMULA_5_69_5_69_5">#REF!</definedName>
    <definedName name="SHARED_FORMULA_5_7_5_7_5" localSheetId="11">#REF!</definedName>
    <definedName name="SHARED_FORMULA_5_7_5_7_5" localSheetId="12">#REF!</definedName>
    <definedName name="SHARED_FORMULA_5_7_5_7_5" localSheetId="24">#REF!</definedName>
    <definedName name="SHARED_FORMULA_5_7_5_7_5">#REF!</definedName>
    <definedName name="SHARED_FORMULA_6_5_6_5_0" localSheetId="11">#REF!/#REF!*100</definedName>
    <definedName name="SHARED_FORMULA_6_5_6_5_0" localSheetId="12">#REF!/#REF!*100</definedName>
    <definedName name="SHARED_FORMULA_6_5_6_5_0" localSheetId="24">#REF!/#REF!*100</definedName>
    <definedName name="SHARED_FORMULA_6_5_6_5_0">#REF!/#REF!*100</definedName>
    <definedName name="SHARED_FORMULA_7_62_7_62_5" localSheetId="11">#REF!</definedName>
    <definedName name="SHARED_FORMULA_7_62_7_62_5" localSheetId="12">#REF!</definedName>
    <definedName name="SHARED_FORMULA_7_62_7_62_5" localSheetId="24">#REF!</definedName>
    <definedName name="SHARED_FORMULA_7_62_7_62_5">#REF!</definedName>
    <definedName name="SHARED_FORMULA_7_82_7_82_5" localSheetId="11">#REF!</definedName>
    <definedName name="SHARED_FORMULA_7_82_7_82_5" localSheetId="12">#REF!</definedName>
    <definedName name="SHARED_FORMULA_7_82_7_82_5" localSheetId="24">#REF!</definedName>
    <definedName name="SHARED_FORMULA_7_82_7_82_5">#REF!</definedName>
    <definedName name="SHARED_FORMULA_7_93_7_93_5" localSheetId="11">#REF!</definedName>
    <definedName name="SHARED_FORMULA_7_93_7_93_5" localSheetId="12">#REF!</definedName>
    <definedName name="SHARED_FORMULA_7_93_7_93_5" localSheetId="24">#REF!</definedName>
    <definedName name="SHARED_FORMULA_7_93_7_93_5">#REF!</definedName>
    <definedName name="SHARED_FORMULA_8_48_8_48_5" localSheetId="11">#REF!</definedName>
    <definedName name="SHARED_FORMULA_8_48_8_48_5" localSheetId="12">#REF!</definedName>
    <definedName name="SHARED_FORMULA_8_48_8_48_5" localSheetId="24">#REF!</definedName>
    <definedName name="SHARED_FORMULA_8_48_8_48_5">#REF!</definedName>
    <definedName name="SHARED_FORMULA_9_112_9_112_5" localSheetId="11">#REF!</definedName>
    <definedName name="SHARED_FORMULA_9_112_9_112_5" localSheetId="12">#REF!</definedName>
    <definedName name="SHARED_FORMULA_9_112_9_112_5" localSheetId="24">#REF!</definedName>
    <definedName name="SHARED_FORMULA_9_112_9_112_5">#REF!</definedName>
    <definedName name="SHARED_FORMULA_9_118_9_118_5" localSheetId="11">#REF!</definedName>
    <definedName name="SHARED_FORMULA_9_118_9_118_5" localSheetId="12">#REF!</definedName>
    <definedName name="SHARED_FORMULA_9_118_9_118_5" localSheetId="24">#REF!</definedName>
    <definedName name="SHARED_FORMULA_9_118_9_118_5">#REF!</definedName>
    <definedName name="SHARED_FORMULA_9_44_9_44_5" localSheetId="11">#REF!</definedName>
    <definedName name="SHARED_FORMULA_9_44_9_44_5" localSheetId="12">#REF!</definedName>
    <definedName name="SHARED_FORMULA_9_44_9_44_5" localSheetId="24">#REF!</definedName>
    <definedName name="SHARED_FORMULA_9_44_9_44_5">#REF!</definedName>
    <definedName name="SHARED_FORMULA_9_53_9_53_5" localSheetId="11">#REF!</definedName>
    <definedName name="SHARED_FORMULA_9_53_9_53_5" localSheetId="12">#REF!</definedName>
    <definedName name="SHARED_FORMULA_9_53_9_53_5" localSheetId="24">#REF!</definedName>
    <definedName name="SHARED_FORMULA_9_53_9_53_5">#REF!</definedName>
    <definedName name="SHARED_FORMULA_9_77_9_77_5" localSheetId="11">#REF!</definedName>
    <definedName name="SHARED_FORMULA_9_77_9_77_5" localSheetId="12">#REF!</definedName>
    <definedName name="SHARED_FORMULA_9_77_9_77_5" localSheetId="24">#REF!</definedName>
    <definedName name="SHARED_FORMULA_9_77_9_77_5">#REF!</definedName>
    <definedName name="SHARED_FORMULA_9_98_9_98_5" localSheetId="11">#REF!</definedName>
    <definedName name="SHARED_FORMULA_9_98_9_98_5" localSheetId="12">#REF!</definedName>
    <definedName name="SHARED_FORMULA_9_98_9_98_5" localSheetId="24">#REF!</definedName>
    <definedName name="SHARED_FORMULA_9_98_9_98_5">#REF!</definedName>
    <definedName name="x" localSheetId="24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<sst xmlns="http://schemas.openxmlformats.org/spreadsheetml/2006/main" count="3442" uniqueCount="1422">
  <si>
    <t>Felhalmozási tartalék</t>
  </si>
  <si>
    <t>Zárolt tartalék</t>
  </si>
  <si>
    <t>MINDÖSSZESEN:</t>
  </si>
  <si>
    <t xml:space="preserve">E Ft-ban </t>
  </si>
  <si>
    <t>Eredeti</t>
  </si>
  <si>
    <t>Önkormányzat</t>
  </si>
  <si>
    <t>Pályázatok és azokhoz kapcsolódó feladatok</t>
  </si>
  <si>
    <t>Tatai Angolpark rehabilitációja KDOP -2.1.1/B-2f-2009-0002</t>
  </si>
  <si>
    <t>Öreg-tavi Ökoturisztikai Központ kialakítása a csatlakozó kerékpárutak felújításával Tatán és a tematikus aktív turisztikai fejlesztések a kistérségben KDOP–2.1.1/B–09-2010-0002</t>
  </si>
  <si>
    <t>Intermodális közösségi közlekedési központ létrehozása Tatán KÖZOP–5.5.0-09-11-2011-0010</t>
  </si>
  <si>
    <t>Ökoturisztikai tanösvény kialakítása a tatai Fényes-Fürdő területén KDOP-2.1.1/B-12-2012-0046</t>
  </si>
  <si>
    <t>Határozatokkal elfogadott feladatok</t>
  </si>
  <si>
    <t>Tatai Közös Önkormányzati Hivatal</t>
  </si>
  <si>
    <t>Intézmények Gazdasági Hivatala és a hozzá tartozó költségvetési szervek</t>
  </si>
  <si>
    <t xml:space="preserve">Kuny Domokos Múzeum </t>
  </si>
  <si>
    <t>Mindösszesen</t>
  </si>
  <si>
    <t>E Ft-ban</t>
  </si>
  <si>
    <t>011130</t>
  </si>
  <si>
    <t>Bláthy O. u. támfal építés</t>
  </si>
  <si>
    <t>Kossuth téren közterületi szobor felállítása NKA - AN2000N6284</t>
  </si>
  <si>
    <t>Tata Város Önkormányzatának szervezetfejlesztése ÁROP – 1.A.5-2013-2013-0003</t>
  </si>
  <si>
    <t>Közigazgatási partnerség építése Tatán ÁROP – 1.A.6-2013-2013-0007</t>
  </si>
  <si>
    <t>Tatai Közös Önkormányzati Hivatal 2015. évi költségvetési terve (kormányzati funkciók és kiemelt előirányzatok szerinti bontásban) ( E Ft-ban)</t>
  </si>
  <si>
    <t>Tata Város Önkormányzat 2015. évi költségvetési terve (kormányzati funkciók és kiemelt előirányzatok szerinti bontásban) ( E Ft-ban)</t>
  </si>
  <si>
    <t xml:space="preserve"> Tata Város Önkormányzatának 2015. évi közgazdasági mérlege (E Ft-ban)</t>
  </si>
  <si>
    <t>2015. évi működési célú bevételek és kiadások mérlege (E Ft-ban)</t>
  </si>
  <si>
    <t>2015. évi beruházási kiadások feladatonként (ÁFA-val)</t>
  </si>
  <si>
    <t>2015. évi felújítási kiadások célonként (ÁFA-val)</t>
  </si>
  <si>
    <t>Tatai Közös Önkormányzati Hivatal által folyósított 2015. évi ellátottak pénzbeli juttatásának részletezése</t>
  </si>
  <si>
    <t>Tata Város Önkormányzata által folyósított 2015. évi ellátottak pénzbeli juttatásának részletezése</t>
  </si>
  <si>
    <t>2015. évi kapott visszatérítendő és vissza nem térítendő támogatások és pénzeszközátvételek alakulása Tata Város Önkormányzatánál és a Tatai Közös Önkormányzati Hivatalnál</t>
  </si>
  <si>
    <t xml:space="preserve"> - Működési tartalék</t>
  </si>
  <si>
    <t>Elvonások és befizetések</t>
  </si>
  <si>
    <t>Termékek és szolgáltatások adói</t>
  </si>
  <si>
    <t>Késedelmi pótlék</t>
  </si>
  <si>
    <t>Bírságok</t>
  </si>
  <si>
    <t>Közvetített szolgáltatások ellenértéke</t>
  </si>
  <si>
    <t>Tulajdonosi bevételek (használatba adásból, üzemeltetésbe adásból származó bevételek, stb.)</t>
  </si>
  <si>
    <t>Garancia és kezességvállalásból származó visszatérülés</t>
  </si>
  <si>
    <t>COFOG</t>
  </si>
  <si>
    <t>Eszközbeszerzés (építési csoport)</t>
  </si>
  <si>
    <t>Informatika biztonsági beruházás, eszközbeszerzés</t>
  </si>
  <si>
    <t>Iktató program szoftver fejlesztés</t>
  </si>
  <si>
    <t>Tárgyi eszköz beszerzés (bútor, textília)</t>
  </si>
  <si>
    <t>Balatonfüredi üdülőbe tárgyi eszköz beszerzés</t>
  </si>
  <si>
    <t>Fényes fürdőn üdülőbe tárgyi eszköz beszerzés</t>
  </si>
  <si>
    <t>Balatonvilágosi üdülőbe tárgyi eszköz beszerzés</t>
  </si>
  <si>
    <t>Egyéb 2015. évi igények</t>
  </si>
  <si>
    <t>013350</t>
  </si>
  <si>
    <t>Tatai Közös Önkormányzati Hivatal tatai épületében aula üvegfödém</t>
  </si>
  <si>
    <t>Tatai 17/4 hrsz-ú ingatlanon sportcsarnok kialakítása I. ütem</t>
  </si>
  <si>
    <t>Tatai 17/4 hrsz-ú ingatlanon sportcsarnok kialakítása II. ütem</t>
  </si>
  <si>
    <t>Tatai 17/4 hrsz-ú ingatlanon sportcsarnok építéséhez kiegészítő munkálatok</t>
  </si>
  <si>
    <t>Kosárlabdacsarnok építés önereje</t>
  </si>
  <si>
    <t>Kastély tér támfal építés önerő és a fennmaradó rész megelőlegezése</t>
  </si>
  <si>
    <t>Kálvária u. 5. kerítés és támfal építése</t>
  </si>
  <si>
    <t>045120</t>
  </si>
  <si>
    <t>József A. u. Komáromi út csomópont fejlesztéséhez kapcsolódó egyéb önkormányzati feladatok</t>
  </si>
  <si>
    <t>Parkoló megváltásból származó bevételek felhasználása (áthúzódó)</t>
  </si>
  <si>
    <t>Kosárlabda csarnok és műfüves focipálya megközelítését szolgáló út kivitelezése (terv készítés folyamatban, ennek hiányában csak becsülhető út, közvilágítás, csapadékvíz)</t>
  </si>
  <si>
    <t>Tata- Agostyán járda, kerékpárút tervezés</t>
  </si>
  <si>
    <t>Út és járdaépítés tervezés (Új úti focipályához út, Dadi u. járda stb.)</t>
  </si>
  <si>
    <t>053010</t>
  </si>
  <si>
    <t>063080</t>
  </si>
  <si>
    <t>Rákóczi u.- Bercsényi u. vízelvezető nyomvonal kiváltás kivitelezés a Kastély park- Öreg tó felé</t>
  </si>
  <si>
    <t>Fekete út- Arany J.u.- Komáromi út Nagykert u. csapadékvíz elvezetés kivitelezés I. ütem</t>
  </si>
  <si>
    <t>Gesztenye fasorban a Malom patak befogadótól gerincvezeték építése és olajfogó műtárgy (Újhegyi vízfolyás alsó szakasz rekonstrukció I. ütem)</t>
  </si>
  <si>
    <t>064010</t>
  </si>
  <si>
    <t>Közvilágítási hálózat korszerűsítése II .ütem ( a KEOP pályázatban szereplő utcákhoz csatlakozó utcák)</t>
  </si>
  <si>
    <t>Térfigyelő kamerarendszer kiépítése</t>
  </si>
  <si>
    <t>Egység u. 12. ingatlan vételár (304/2014. (IX.1.) Tata Kt. határozat</t>
  </si>
  <si>
    <t>Kocsi u. 17. szám mögötti terület megvásárlása (354/2014. (IX.27.) Tata Kt. határozat</t>
  </si>
  <si>
    <t>Visszatérő forrásokkal kapcsolatos beruházások</t>
  </si>
  <si>
    <t>Területi együttműködést segítő programok kialakítása a tatai járásban ÁROP-1.A.3-2014-2014-0113</t>
  </si>
  <si>
    <t>Napelemes rendszer kiépítése a Kőkúti Általános Iskolában KEOP-4.10.0/N/14-2014-0382</t>
  </si>
  <si>
    <t>Balatonvilágosi konyha korszerűsítés</t>
  </si>
  <si>
    <t>Bercsényi u. 1. alatti ingatlanba informatikai eszközbeszerzés</t>
  </si>
  <si>
    <t>Május 1. út, Oroszlányi u., Keszthelyi út közvilágítás fejlesztése 2014-ről áthúzódó számla</t>
  </si>
  <si>
    <t>Hivatali hátsó fedett beálló felújítása (tetőszerkezet, falszerkezet, világítás)</t>
  </si>
  <si>
    <t>013320</t>
  </si>
  <si>
    <t>Fényes fürdő II. kút felújítás</t>
  </si>
  <si>
    <t>Tata, közvilágítás hálózat korszerűsítése II. ütem (A KEOP pályázatban szereplő utcákhoz közvetlenül csatlakozó utcák)</t>
  </si>
  <si>
    <t>Tópart sétány közvilágítás (Casablanca- Pötörke malom) kivitelezés</t>
  </si>
  <si>
    <t>Térfigyelő kamerarendszer</t>
  </si>
  <si>
    <t>Rákóczi u. 9. homlokzat felújítás</t>
  </si>
  <si>
    <t>Tatai 17/4 hrsz-ú ingatlanon földgáz vezeték vásárlása (2014-ről áthúzódó kötelezettségvállalás)</t>
  </si>
  <si>
    <t>Önkormányzati bérlakások felújítása, ebből 2014. évről áthúzódó számla 1 317 E Ft</t>
  </si>
  <si>
    <t xml:space="preserve"> - Balogh F. u. – Határ út; Nyírfa u., Tulipán u.; Újvilág u. II. ütem</t>
  </si>
  <si>
    <t>Fényes fürdő strand nyitáshoz szükséges munkálatok elvégzésére</t>
  </si>
  <si>
    <t xml:space="preserve"> - Pénzbeni és természetbeni települési támogatás (2015. 03. hónaptól)</t>
  </si>
  <si>
    <t>Tatai Közös Önkormányzati hivatal tatai épületében aula üvegfödém</t>
  </si>
  <si>
    <t>Öko program</t>
  </si>
  <si>
    <t>Önkormányzati nem lakás célú helyiségek felújítása</t>
  </si>
  <si>
    <t>Rákóczi u. 9. homlokzat felújítása</t>
  </si>
  <si>
    <t>Vaszary Villa állagmegóvó munkálataira (365/2014. (XI.27.) Kt. határozat)</t>
  </si>
  <si>
    <t>Fürdő u. 2. sz. ingatlanon a halaszthatatlan munkálatok elvégzésére</t>
  </si>
  <si>
    <t>Almási u. 43. Tatai Vöröskereszt által használt részén tetőfelújítás</t>
  </si>
  <si>
    <t>Dunaalmás Önkormányzatától</t>
  </si>
  <si>
    <t>Neszmély Önkormányzatától</t>
  </si>
  <si>
    <t>Dunaszentmiklós Önkormányzatától</t>
  </si>
  <si>
    <t>Fellner Jakab Alapítvány Támogatása - Kálvária Kápolna felújítása</t>
  </si>
  <si>
    <t>084032</t>
  </si>
  <si>
    <t>084060</t>
  </si>
  <si>
    <t>047460</t>
  </si>
  <si>
    <t>084070</t>
  </si>
  <si>
    <t>082092</t>
  </si>
  <si>
    <t>Működési</t>
  </si>
  <si>
    <t>Felhalmozási</t>
  </si>
  <si>
    <t xml:space="preserve">Aszfalt felületű utak útfelújítása marással újra aszfaltozással </t>
  </si>
  <si>
    <t xml:space="preserve"> - Vértesszőlősi úttal párhuzamos szerviz út egy szakasza, Fényes fürdő út</t>
  </si>
  <si>
    <t>Pormentesítés mart aszfaltos útfelújítás</t>
  </si>
  <si>
    <t xml:space="preserve"> - Fűzfa u. </t>
  </si>
  <si>
    <t>Naplókert u. burkolat felújításhoz kapcsoló önkormányzati feladatok (megállapodás alapján)</t>
  </si>
  <si>
    <t>Útfelújítások tervezése (a pormentesítésre jelölt utcák felújításának műszaki tartalom meghatározása, költségvetési kiírás készítése, 2016. évben felújításra kerülő utcák kiviteli tervei)</t>
  </si>
  <si>
    <t>052080</t>
  </si>
  <si>
    <t xml:space="preserve">Bacsó B.u. 66. lakótelep szennyvíz vezeték felújítása I ütem </t>
  </si>
  <si>
    <t>Bacsó B. u. 66. közvilágítás mérés kiépítés megtérítése E.ON-nak 50% szerződés alapján</t>
  </si>
  <si>
    <t>Bacsó B. u. 66. közvilágítási hálózat felújítása ( II ütem  2. közvil.kábelkör 200 fm kábel,oszlopok)</t>
  </si>
  <si>
    <t>066010</t>
  </si>
  <si>
    <t>Egység utcai szökőkút elbontás, áthelyezés, energiaellátás</t>
  </si>
  <si>
    <t>Ady Endre utca zöldterület felújítás határozat szerint</t>
  </si>
  <si>
    <t>Ady E. u. 12-14. (Helyőrségi Klub) felújításának tervei</t>
  </si>
  <si>
    <t>Fényes fürdőn üdülők felújítása</t>
  </si>
  <si>
    <t>Bacsó B. u. 66. lakótelep szennyvízcsatorna hálózat felújítás tervei 2014-ről áthúzódó számla</t>
  </si>
  <si>
    <t>Dobroszláv utcai csapadékvíz elvezető rendszer felújítása 2014-ről áthúzódó számla</t>
  </si>
  <si>
    <t>Belvárosi járda felújítások 2014-ről áthúzódó számla</t>
  </si>
  <si>
    <t>Országos Mentőszolgálat Tatai Állomásának</t>
  </si>
  <si>
    <t>Tatai Városkapu Zrt. támogatása</t>
  </si>
  <si>
    <t>Pályázatokkal kapcsolatos feladatok</t>
  </si>
  <si>
    <t>Útfejlesztésekkel kapcsolatos feladatok</t>
  </si>
  <si>
    <t>Vízelvezetéssel kapcsolatos feladatok</t>
  </si>
  <si>
    <t>Közvilágítással és közbiztonsággal kapcsolatos feladatok</t>
  </si>
  <si>
    <t>Önkormányzati támogatás a lakosság energiatakarékos felújításaihoz</t>
  </si>
  <si>
    <t>Önkormányzati tulajdonú ingatlanokon végzendő felújítási feladatok</t>
  </si>
  <si>
    <t>Egyéb működési bevétel</t>
  </si>
  <si>
    <t>Ingatlanok</t>
  </si>
  <si>
    <t xml:space="preserve">Ingatlanok értékesítése </t>
  </si>
  <si>
    <t>A tatai Réti 8-as számú tó vízi élőhellyé történő rehabilitációja KEOP – 3.1.2/2F/09-11-2013-0014</t>
  </si>
  <si>
    <t>A tatai Angolkert természeti és kulturális örökségének helyreállítása KEOP – 3.1.2/2F/09-11-2013-0043</t>
  </si>
  <si>
    <t>Irányítószervi támogatás folyósítás</t>
  </si>
  <si>
    <t>KÖLTSÉGVETÉSI BEVÉTELEK ÖSSZESEN:</t>
  </si>
  <si>
    <t>KÖLTSÉGVETÉSI KIADÁSOK ÖSSZESEN:</t>
  </si>
  <si>
    <t>FINANSZÍROZÁSI BEVÉTELEK ÖSSZESEN:</t>
  </si>
  <si>
    <t>FINANSZÍROZÁSI KIADÁSOK ÖSSZESEN:</t>
  </si>
  <si>
    <t>FELHALMOZÁSI TARTALÉK</t>
  </si>
  <si>
    <t>MŰKÖDÉSI TARTALÉK</t>
  </si>
  <si>
    <t>Tata, közvilágítás hálózat korszerűsítése KEOP– 5.5.0/A.-12-2013-0229</t>
  </si>
  <si>
    <t>066020</t>
  </si>
  <si>
    <t>081071</t>
  </si>
  <si>
    <t>Összesen:</t>
  </si>
  <si>
    <t>ÖNKORMÁNYZAT</t>
  </si>
  <si>
    <t>ÁFA bevétel</t>
  </si>
  <si>
    <t>Működési célú pénzeszközátadás és támogatása</t>
  </si>
  <si>
    <t>Közép-Duna Vidéke Önkormányzati Társulásnak működési hozzájárulás</t>
  </si>
  <si>
    <t>Működési célú visszatérítendő támogatások, kölcsönök nyújtása államháztartáson belülre</t>
  </si>
  <si>
    <t>Működési célú támogatások államháztartáson belülre (vissza nem térítendő)</t>
  </si>
  <si>
    <t>Működési célú visszatérítendő támogatások, kölcsönök nyújtása államháztartáson kívülre</t>
  </si>
  <si>
    <t>Működési célú támogatások államháztartáson kívülre (vissza nem térítendő)</t>
  </si>
  <si>
    <t>Működési célú támogatások (vissza nem térítendő) összesen:</t>
  </si>
  <si>
    <t>Működési célú visszatérítendő támogatások, kölcsönök nyújtása összesen:</t>
  </si>
  <si>
    <t>Működési célú támogatások (visszatérítendő és vissza nem térítendő) mindösszesen:</t>
  </si>
  <si>
    <t>Felhalmozási célú támogatások államháztartáson belülre (vissza nem térítendő)</t>
  </si>
  <si>
    <t>Felhalmozási célú támogatások államháztartáson kívülre (vissza nem térítendő)</t>
  </si>
  <si>
    <t>Felhalmozási célú támogatások (vissza nem térítendő) összesen:</t>
  </si>
  <si>
    <t>Felhalmozási célú visszatérítendő támogatások, kölcsönök nyújtása államháztartáson kívülre</t>
  </si>
  <si>
    <t>Felhalmozási célú támogatások (visszatérítendő és vissza nem térítendő) mindösszesen:</t>
  </si>
  <si>
    <t>TATAI KÖZÖS ÖNKORMÁNYZATI HIVATAL</t>
  </si>
  <si>
    <t>Juniorka Alapítványi Óvoda támogatása</t>
  </si>
  <si>
    <t>Juniorka Alapítványi Bölcsőde támogatása</t>
  </si>
  <si>
    <t>Oktatási és Kulturális Alap</t>
  </si>
  <si>
    <t>Sportiskola - Kőkúti Sasok</t>
  </si>
  <si>
    <t>Vaszary János Általános Iskola Alapítványának matematika versenyre és táborra</t>
  </si>
  <si>
    <t>Tatai Kistérségi Többcélú Társulásnak</t>
  </si>
  <si>
    <t>Magyar Máltai Szeretetszolgálat tatai csoportjának</t>
  </si>
  <si>
    <t>Magyar Vöröskereszt tatai szervezetének</t>
  </si>
  <si>
    <t>Egészségvédelmi, Szociális és Sportalap</t>
  </si>
  <si>
    <t>Magyarországi PKU Egyesületnek</t>
  </si>
  <si>
    <t>Színes Iskola Alapítvány támogatása</t>
  </si>
  <si>
    <t>Szociális Háló Közalapítvány támogatása</t>
  </si>
  <si>
    <t>061030</t>
  </si>
  <si>
    <t>Egyéb működési kiadások</t>
  </si>
  <si>
    <t>Beruházási kiadások</t>
  </si>
  <si>
    <t>Felújítási kiadások</t>
  </si>
  <si>
    <t xml:space="preserve">Költségvetési egyenleg: </t>
  </si>
  <si>
    <t>Áru és készletértékesítés (a döntést követő 3 hónap utáni föld- és ingatlan értékesítés)</t>
  </si>
  <si>
    <t>Üdülői szálláshely szolgáltatás és étkeztetés</t>
  </si>
  <si>
    <t>Önkormányzatok és önkormányzati hivatalok jogalkotás és általános igazgatási tevékenysége</t>
  </si>
  <si>
    <t>011220</t>
  </si>
  <si>
    <t>Tatai Fényes Fürdő Kft-nek nyújtott kölcsön visszatérülése</t>
  </si>
  <si>
    <t>Adó-, vám és jövedéki igazgatás</t>
  </si>
  <si>
    <t>Város- községgazdálkodási szolgáltatások</t>
  </si>
  <si>
    <t>Lakáshoz jutást segítő támogatások</t>
  </si>
  <si>
    <t>105010</t>
  </si>
  <si>
    <t>106020</t>
  </si>
  <si>
    <t>107060</t>
  </si>
  <si>
    <t>Közterület rendjének fenntartása</t>
  </si>
  <si>
    <t>018030</t>
  </si>
  <si>
    <t>Neszmélyi Kirendeltség</t>
  </si>
  <si>
    <t>Neszmélyi Kirendeltség összesen:</t>
  </si>
  <si>
    <t>Dunaalmási Kirendeltség összesen:</t>
  </si>
  <si>
    <t>Dunaszentmiklósi Kirendeltség összesen:</t>
  </si>
  <si>
    <t>Községek összesen:</t>
  </si>
  <si>
    <t>Eredeti összesen:</t>
  </si>
  <si>
    <t>Kötelező összesen:</t>
  </si>
  <si>
    <t>Áru- és készletértékesítés (a döntést követő 3 hónap utáni föld- és ingatlan értékesítés)</t>
  </si>
  <si>
    <t>- Dunaszentmiklósi Kirendeltség</t>
  </si>
  <si>
    <t>- Dunaalmási Kirendeltség</t>
  </si>
  <si>
    <t>Tatai Közös Önkormányzati Hivatal összesen:</t>
  </si>
  <si>
    <r>
      <t xml:space="preserve">Tata Város Önkormányzata </t>
    </r>
    <r>
      <rPr>
        <sz val="10"/>
        <rFont val="Times New Roman"/>
        <family val="1"/>
      </rPr>
      <t>- választott tisztségviselő</t>
    </r>
  </si>
  <si>
    <t>Munkaadókat terhelő járulékok és szociális hozzájárulási adó</t>
  </si>
  <si>
    <t>Kenderke Néptánc Egyesület támogatása</t>
  </si>
  <si>
    <t>TIT KEM Egyesületének támogatása</t>
  </si>
  <si>
    <t>Pötörke Néptánc Egyesület támogatása</t>
  </si>
  <si>
    <t>Tatai Mecénás Közalapítvány támogatása</t>
  </si>
  <si>
    <t>Víz-Zene-Virág Fesztivál Egyesületnek rövid távú kölcsön nyújtása</t>
  </si>
  <si>
    <t>Polgárőrségnek</t>
  </si>
  <si>
    <t>031030</t>
  </si>
  <si>
    <t>Rendőrségnek</t>
  </si>
  <si>
    <t>Szakmai Képzésért Közalapítvány támogatása (Bláthy Ottó Szakközépiskola, Szakiskola és Kollégium)</t>
  </si>
  <si>
    <t>Cirmos Cica Közhasznú Alapítvány támogatása</t>
  </si>
  <si>
    <t>Tatai Televízió Közalapítvány támogatása</t>
  </si>
  <si>
    <t>NEP</t>
  </si>
  <si>
    <t>ZBR</t>
  </si>
  <si>
    <t>Kis- és középvállalkozások munkahelyteremtő támogatása</t>
  </si>
  <si>
    <t>TAC támogatása</t>
  </si>
  <si>
    <t>Munkáltatói kölcsön nyújtása</t>
  </si>
  <si>
    <t>Működési célú visszatérítendő támogatások, kölcsönök visszatérülése államháztartáson kívülről</t>
  </si>
  <si>
    <t>052 080</t>
  </si>
  <si>
    <t>2015. évi felhalmozási célú bevételek és kiadások mérlege (E Ft-ban)</t>
  </si>
  <si>
    <t>Tata Város Önkormányzata és az általa irányított költségvetési szervek 2015. évi bevételei forrásonként ( E Ft-ban)</t>
  </si>
  <si>
    <t xml:space="preserve">Tata Város Önkormányzata és az általa irányított költségvetési szervek 2015. évi kiadásai </t>
  </si>
  <si>
    <t>Kuny Domokos Múzeum 2015. évi költségvetése (bevételek)  E Ft-ban</t>
  </si>
  <si>
    <t>Kuny Domokos Múzeum  2015. évi költségvetése (kiadások)  E Ft-ban</t>
  </si>
  <si>
    <t>Tata Város Önkormányzatának 2015. évi tartalékai (E Ft-ban)</t>
  </si>
  <si>
    <t>Felhalmozási célú átvett pénzeszközök államháztartáson kívülről (vissza nem térítendő)</t>
  </si>
  <si>
    <t>Felhalmozási célú visszatérítendő támogatások, kölcsönök visszatérülése államháztartáson kívülről</t>
  </si>
  <si>
    <t>Felhalmozási célú visszatérítendő támogatások, kölcsönök visszatérülése államháztartáson belülről</t>
  </si>
  <si>
    <t>Felhalmozási célú támogatások államháztartáson belülről (vissza nem térítendő)</t>
  </si>
  <si>
    <t>Működési célú támogatások államháztartáson belülről (vissza nem térítendő)</t>
  </si>
  <si>
    <t>Működési célú támogatások és átvett pénzeszközök (vissza nem térítendő) összesen:</t>
  </si>
  <si>
    <t>Közösségi ellátás</t>
  </si>
  <si>
    <t>Talentum Angol-Magyar Két Tanítási Nyelvű Általános Iskola, Gimnázium és Művészeti Szakiskolától a fűtéskorszerűsítéssel kapcsolatban</t>
  </si>
  <si>
    <t>Pons Danubii EGTC-től HUSK/1101/Információval a határon át a Pons Danubii határtérségben</t>
  </si>
  <si>
    <t>Munkaügyi Központtól a téli közfoglalkoztatás támogatására</t>
  </si>
  <si>
    <t>Irányító szervi támogatás folyósítása</t>
  </si>
  <si>
    <t>Felhalmozási tartalékok</t>
  </si>
  <si>
    <t>Költségvetési szerveknek folyósított támogatás</t>
  </si>
  <si>
    <t>Sportlétesítmények, edzőtáborok működtetése és fejlesztése</t>
  </si>
  <si>
    <t>ÖNKORMÁNYZATI TÁMOGATÁSOK (VISSZATÉRÍTENDŐ ÉS VISSZA NEM TÉRÍTENDŐ) MINDÖSSZESEN:</t>
  </si>
  <si>
    <t>KÖZÖS ÖNKORMÁNYZATI HIVATALI TÁMOGATÁSOK (VISSZATÉRÍTENDŐ ÉS VISSZA NEM TÉRÍTENDŐ) MINDÖSSZESEN:</t>
  </si>
  <si>
    <t>Nemzeti Kulturális Alaptól a Magyarország, szeretlek pályázatra</t>
  </si>
  <si>
    <t>ÖNKORMÁNYZATI TÁMOGATÁSOK ÉS ÁTVETT PÉNZESZKÖZÖK (VISSZATÉRÍTENDŐ ÉS VISSZA NEM TÉRÍTENDŐ) MINDÖSSZESEN:</t>
  </si>
  <si>
    <t>KÖZÖS ÖNKORMÁNYZATI HIVATALI TÁMOGATÁSOK ÉS ÁTVETT PÉNZESZKÖZÖK (VISSZATÉRÍTENDŐ ÉS VISSZA NEM TÉRÍTENDŐ) MINDÖSSZESEN:</t>
  </si>
  <si>
    <t>Víz-Zene-Virág Fesztivál Egyesületnek nyújtott rövid lejáratú kölcsön visszafizetése</t>
  </si>
  <si>
    <t>Munkáltatói kölcsön visszafizetése</t>
  </si>
  <si>
    <t>Háztartásoknak nyújtott egyéb felhalmozási célú kölcsön visszafizetése</t>
  </si>
  <si>
    <t>Tatai Kistérségi Többcélú Társulástól feladatellátáshoz hozzájárulás</t>
  </si>
  <si>
    <t>Összesen</t>
  </si>
  <si>
    <t>Pénzmaradvány</t>
  </si>
  <si>
    <t>Bevételi előirányzat</t>
  </si>
  <si>
    <t>Kiadási előirányzat</t>
  </si>
  <si>
    <t>Személyi juttatás</t>
  </si>
  <si>
    <t>Járulékok</t>
  </si>
  <si>
    <t>Dologi kiadás</t>
  </si>
  <si>
    <t>Közhatalmi bevételek</t>
  </si>
  <si>
    <t>Felhalmozási kiadásokra átcsoportosított (-)</t>
  </si>
  <si>
    <t>Költségvetési bevételek összesen:</t>
  </si>
  <si>
    <t>Költségvetési kiadások összesen:</t>
  </si>
  <si>
    <t>Egyenleg:</t>
  </si>
  <si>
    <t>Irányítószervi támogatás</t>
  </si>
  <si>
    <t>Finanszírozási bevételek</t>
  </si>
  <si>
    <t>Finanszírozási kiadások</t>
  </si>
  <si>
    <t>Mindösszesen:</t>
  </si>
  <si>
    <t>Beruházás</t>
  </si>
  <si>
    <t>Felújítás</t>
  </si>
  <si>
    <t>Egyéb felhalmozási kiadás</t>
  </si>
  <si>
    <t>Működési bevételekből átcsoportosított</t>
  </si>
  <si>
    <t>Mindösszesen bevételek:</t>
  </si>
  <si>
    <t>Mindösszesen kiadások:</t>
  </si>
  <si>
    <t>Adósságot keletkeztető ügyletek</t>
  </si>
  <si>
    <t>Cél megnevezése</t>
  </si>
  <si>
    <t>A kiadás forrása</t>
  </si>
  <si>
    <t>Vissza nem térítendő támogatás</t>
  </si>
  <si>
    <t>Működési pénzmaradvány</t>
  </si>
  <si>
    <t>Kiadás, melyre a pénzmaradvány fordítódik</t>
  </si>
  <si>
    <t>Felhalmozási pénzmaradvány</t>
  </si>
  <si>
    <t xml:space="preserve">törlesztés </t>
  </si>
  <si>
    <t>kamat</t>
  </si>
  <si>
    <t>Tartozás 2015.</t>
  </si>
  <si>
    <t>Tartozás 2016.</t>
  </si>
  <si>
    <t>Tartozás 2017.</t>
  </si>
  <si>
    <t>Tartozás 2018.</t>
  </si>
  <si>
    <t>Tartozás 2019.</t>
  </si>
  <si>
    <t>Tartozás 2020.</t>
  </si>
  <si>
    <t>Tartozás 2021.</t>
  </si>
  <si>
    <t>Tartozás 2022.</t>
  </si>
  <si>
    <t>Tartozás 2023.</t>
  </si>
  <si>
    <t>Tartozás 2024.</t>
  </si>
  <si>
    <t>Intézmények Gazdasági Hivatalához tartozó intézmények</t>
  </si>
  <si>
    <t>E. Ft-ban</t>
  </si>
  <si>
    <t>Bevétel</t>
  </si>
  <si>
    <t>Kiadás</t>
  </si>
  <si>
    <t xml:space="preserve">Egyéb működési bevételből </t>
  </si>
  <si>
    <t>Egyéb működési bevételből</t>
  </si>
  <si>
    <t>A munka és a magánélet összehangolása a Tatai Közös Önkormányzati Hivatalban TÁMOP-2.4.5-12/7-2012-0705</t>
  </si>
  <si>
    <t>Működési kiadások</t>
  </si>
  <si>
    <t>Felhalmozási kiadások</t>
  </si>
  <si>
    <t>M.adókat terh. jár. és szochó</t>
  </si>
  <si>
    <t>Hitel- és kölcsön törlesztés</t>
  </si>
  <si>
    <t>Állam (igazgatás)</t>
  </si>
  <si>
    <t>Önkormányzatok és önkormányzati hivatalok jogalkotó és általános igazgatási tevékenysége (Pénzmaradv.)</t>
  </si>
  <si>
    <t>011 130</t>
  </si>
  <si>
    <t>Önkormányzatok és önkormányzati hivatalok jogalkotó és általános igazgatási tevékenysége</t>
  </si>
  <si>
    <t>Kötelező</t>
  </si>
  <si>
    <t>011 220</t>
  </si>
  <si>
    <t>Adó, vám- és jövedéki igazgatás</t>
  </si>
  <si>
    <t>Nem kötelező</t>
  </si>
  <si>
    <t>011 320</t>
  </si>
  <si>
    <t>Nemzetközi szervezetekben való részvétel</t>
  </si>
  <si>
    <t>013 320</t>
  </si>
  <si>
    <t>Köztemető fenntartás és működtetés</t>
  </si>
  <si>
    <t>013 350</t>
  </si>
  <si>
    <t>Az önkormányzati vagyonnal való gazdálkodással kapcsolatos feladatok</t>
  </si>
  <si>
    <t>016 080</t>
  </si>
  <si>
    <t>Kiemelt állami és önkormányzati rendezvények (Nemzeti ünnepek)</t>
  </si>
  <si>
    <t>Kiemelt állami és önkormányzati rendezvények (Minimarathon)</t>
  </si>
  <si>
    <t>Kiemelt állami és önkormányzati rendezvények (Városi ünnepek)</t>
  </si>
  <si>
    <t>Kiemelt állami és önkormányzati rendezvények</t>
  </si>
  <si>
    <t>018 010</t>
  </si>
  <si>
    <t>Önkormányzatok elszámolásai a központi költségvetéssel</t>
  </si>
  <si>
    <t>018 020</t>
  </si>
  <si>
    <t>Központi költségvetési befizetések</t>
  </si>
  <si>
    <t>018 030</t>
  </si>
  <si>
    <t>Támogatási célú finanszírozási műveletek</t>
  </si>
  <si>
    <t>022 010</t>
  </si>
  <si>
    <t>Polgári honvédelem ágazati feladatai, a lakosság felkészítése</t>
  </si>
  <si>
    <t>031 030</t>
  </si>
  <si>
    <t>032 020</t>
  </si>
  <si>
    <t>041 232</t>
  </si>
  <si>
    <t>Rövid időtartamú közfoglalkoztatás</t>
  </si>
  <si>
    <t>041 233</t>
  </si>
  <si>
    <t>Bérpótló juttatásra jogosultak hosszabb időtartamú közfoglalkoztatása</t>
  </si>
  <si>
    <t>042 180</t>
  </si>
  <si>
    <t>Állat-egészségügy</t>
  </si>
  <si>
    <t>042 220</t>
  </si>
  <si>
    <t>Erdőgazdálkodás</t>
  </si>
  <si>
    <t>045 120</t>
  </si>
  <si>
    <t>Út, autópálya építése</t>
  </si>
  <si>
    <t>045 140</t>
  </si>
  <si>
    <t>Városi és elővárosi közúti személyszállítás</t>
  </si>
  <si>
    <t>045 160</t>
  </si>
  <si>
    <t>Közutak, hidak, alagutak üzemeltetése, fenntartása</t>
  </si>
  <si>
    <t>047 460</t>
  </si>
  <si>
    <t>Kis- és középvállalkozások működési és fejlesztési támogatásai</t>
  </si>
  <si>
    <t>051 030</t>
  </si>
  <si>
    <t>Nem veszélyes (települési) hulladék összetevőinek válogatása, elkülönített begyűjtése, szállítása, átrakása</t>
  </si>
  <si>
    <t>Szennyvíz gyűjtése, tisztítása, elhelyezése</t>
  </si>
  <si>
    <t>053 010</t>
  </si>
  <si>
    <t>Környezetszennyezés csökkentésének igazgatása</t>
  </si>
  <si>
    <t>Környezetvédelmi csoportok támogatása</t>
  </si>
  <si>
    <t>061 030</t>
  </si>
  <si>
    <t>Önkormányzat által nyújtott lakástámogatás</t>
  </si>
  <si>
    <t>063 080</t>
  </si>
  <si>
    <t>Víztermelés-kezelés ellátás</t>
  </si>
  <si>
    <t>064 010</t>
  </si>
  <si>
    <t>Közvilágítás</t>
  </si>
  <si>
    <t>066 010</t>
  </si>
  <si>
    <t>Zöldterület kezelés (parkfenntartás)</t>
  </si>
  <si>
    <t>Zöldterület kezelés (játszótér)</t>
  </si>
  <si>
    <t>Zöldterület kezelés (Munkaügyi Központ)</t>
  </si>
  <si>
    <t>066 020</t>
  </si>
  <si>
    <t>Város- községgazdálkodási egyéb szolgáltatások (Közbeszerzés)</t>
  </si>
  <si>
    <t>Város- községgazdálkodási egyéb szolgáltatások  (Építés- és területfejlesztés)</t>
  </si>
  <si>
    <t>Város- községgazdálkodási egyéb szolgáltatások (VKG)</t>
  </si>
  <si>
    <t>081 030</t>
  </si>
  <si>
    <t>081 045</t>
  </si>
  <si>
    <t>Máshová nem sorolható egyéb sporttámogatás</t>
  </si>
  <si>
    <t>081 061</t>
  </si>
  <si>
    <t>Szabadidős park, fürdő és strandszolgáltatás</t>
  </si>
  <si>
    <t>082 092</t>
  </si>
  <si>
    <t>Közművelődési tevékenységek és támogatásuk</t>
  </si>
  <si>
    <t>083 020</t>
  </si>
  <si>
    <t>Könyvkiadás</t>
  </si>
  <si>
    <t>083 030</t>
  </si>
  <si>
    <t>Egyéb kiadói tevékenység</t>
  </si>
  <si>
    <t>084 032</t>
  </si>
  <si>
    <t>Civil szervezetek programtámogatása</t>
  </si>
  <si>
    <t>084 060</t>
  </si>
  <si>
    <t>084 070</t>
  </si>
  <si>
    <t>086 030</t>
  </si>
  <si>
    <t>Nemzetközi kulturális együttműködés (Testvérvárosi feladatok)</t>
  </si>
  <si>
    <t>Nemzetközi kulturális együttműködés - HUSK 1301/2.1.1. Megújuló energia p.</t>
  </si>
  <si>
    <t>Nemzetközi kulturális együttműködés - Fiatalok lendületben program</t>
  </si>
  <si>
    <t>098 031</t>
  </si>
  <si>
    <t>Pedagógiai szakmai szolgáltatások szakmai feladatai</t>
  </si>
  <si>
    <t>Közösségi szolgáltatás</t>
  </si>
  <si>
    <t>101 150</t>
  </si>
  <si>
    <t>Betegséggel kapcsolatos pénzbeli ellátások, támogatások</t>
  </si>
  <si>
    <t>101 222</t>
  </si>
  <si>
    <t>Támogató szolgáltatás</t>
  </si>
  <si>
    <t>103 010</t>
  </si>
  <si>
    <t>Elhunyt személyek hátramaradottainak pénzbeli ellátásai</t>
  </si>
  <si>
    <t>104 051</t>
  </si>
  <si>
    <t>Gyermekvédelmi pénzbeli és természetbeni ellátások</t>
  </si>
  <si>
    <t>Otthonteremtési támogatás</t>
  </si>
  <si>
    <t>105 010</t>
  </si>
  <si>
    <t>Munkanélküli aktív korúak ellátásai</t>
  </si>
  <si>
    <t>106 010</t>
  </si>
  <si>
    <t>Lakóingatlan szociális célú bérbeadása, üzemeltetése</t>
  </si>
  <si>
    <t>106 020</t>
  </si>
  <si>
    <t>Lakásfenntartással, lakhatással összefüggő ellátások</t>
  </si>
  <si>
    <t>107 060</t>
  </si>
  <si>
    <t>Egyéb szociális pénzbeli és természetbeni ellátások, támogatások</t>
  </si>
  <si>
    <t>900 060</t>
  </si>
  <si>
    <t>Forgatási és befektetési célú finanszírozási műveletek</t>
  </si>
  <si>
    <t>900 070</t>
  </si>
  <si>
    <t>Fejezeti és befektetési célú finanszírozási műveletek - Általános tartalék</t>
  </si>
  <si>
    <t>Bevételek összesen</t>
  </si>
  <si>
    <t>Kiadások összesen</t>
  </si>
  <si>
    <t>ÁFA</t>
  </si>
  <si>
    <t>előző évi átvétele</t>
  </si>
  <si>
    <t>M.adókat terhelő jár.</t>
  </si>
  <si>
    <t>Dologi</t>
  </si>
  <si>
    <t>Kötelező összesen</t>
  </si>
  <si>
    <t>Kormányzati funkciók</t>
  </si>
  <si>
    <t>Működési bevétel</t>
  </si>
  <si>
    <t>Működési bevételből</t>
  </si>
  <si>
    <t>Kapott fenntartói kölcsön</t>
  </si>
  <si>
    <t>Átvett pénzeszközök</t>
  </si>
  <si>
    <t>Támogatásértékű bevétel</t>
  </si>
  <si>
    <t>Tárgyi eszköz, immat. javak értékesítése</t>
  </si>
  <si>
    <t>Önkormányzati támogatás</t>
  </si>
  <si>
    <t>Kamat</t>
  </si>
  <si>
    <t>működési célra</t>
  </si>
  <si>
    <t>felhalmozási célra</t>
  </si>
  <si>
    <t>0862061 kötelező</t>
  </si>
  <si>
    <t>0862062 kötelező</t>
  </si>
  <si>
    <t>0862063 kötelező</t>
  </si>
  <si>
    <t>0862064 kötelező</t>
  </si>
  <si>
    <t>Dologi és egyéb folyó kiadás</t>
  </si>
  <si>
    <t xml:space="preserve">Dologiból kamat </t>
  </si>
  <si>
    <t>Szociális Pénzbeli juttatás</t>
  </si>
  <si>
    <t>pénzforgalom nélküli</t>
  </si>
  <si>
    <t>Fejezeti és befektetési célú finanszírozási műveletek - Működési- és felhalmozási tartalék</t>
  </si>
  <si>
    <t>Nem kötelező összesen:</t>
  </si>
  <si>
    <t>Állam (igazgatás) összesen:</t>
  </si>
  <si>
    <t>A munka és a magánélet összehangolását segítő helyi kezdeményezések megvalósítása Tata városában TÁMOP-2.4.5-12/3-2012-0028</t>
  </si>
  <si>
    <t>Önkormányzati költségvetési szervek engedélyezett létszáma</t>
  </si>
  <si>
    <t>Költségvetési szervek megnevezése</t>
  </si>
  <si>
    <t>Engedélyezett létszám (fő)</t>
  </si>
  <si>
    <t>Csillagsziget Bölcsőde</t>
  </si>
  <si>
    <t>Kamatmentes lakossági kölcsön visszafizetése</t>
  </si>
  <si>
    <t>Munkaügyi Központtól közfoglalkoztatás támogatására</t>
  </si>
  <si>
    <t>Tata és Környéke Turisztikai Egyesületnek a Végvárak védelmében HUSK/1101/1.7.1/0143 projekt megvalósítására nyújtott kölcsön visszatérülése</t>
  </si>
  <si>
    <t>Felhalmozási célú garancia és kezességvállalásból származó bevétel államháztartáson kívülről</t>
  </si>
  <si>
    <t>Tata Tóparti Viziközmű társulatnak vállalt kezesség visszatérülése</t>
  </si>
  <si>
    <t>Pötörke Népművészeti Egyesületnek vállalt kezesség visszatérülése</t>
  </si>
  <si>
    <t>Kastély téri támfal építésre vis maior támogatás</t>
  </si>
  <si>
    <t>Tatai Angolpark rehabilitációja KDOP -2.1.1/B-2f-2009-0002 önerő támogatás</t>
  </si>
  <si>
    <t>Öreg-tavi Ökoturisztikai Központ kialakítása a csatlakozó kerékpárutak felújításával Tatán és a tematikus aktív turisztikai fejlesztések a kistérségben KDOP–2.1.1/B–09-2010-0002 önerő támogatás</t>
  </si>
  <si>
    <t>Önerő</t>
  </si>
  <si>
    <t>Támogatás</t>
  </si>
  <si>
    <t>Pénzbeni és természetbeni segély (átmeneti segély 2015. 01-02. hó)</t>
  </si>
  <si>
    <t>Települési támogatás</t>
  </si>
  <si>
    <t xml:space="preserve"> - 18. életévét betöltött tartósan beteg hozzátartozójának ápolását, gondozását végző személy részére</t>
  </si>
  <si>
    <t xml:space="preserve"> - Gyógyszer kiadások támogatásához</t>
  </si>
  <si>
    <t>Arany János Tehetséggondozó Programban részt vevő tanulók támogatása</t>
  </si>
  <si>
    <t>Bursa Hungarica ösztöndíjakra 315/2014. (IX.1.) Tata Kt. határozat alapján</t>
  </si>
  <si>
    <t>Környezetvédelmi Alap civil és intézményi pályázók részére</t>
  </si>
  <si>
    <t>Háziorvosi alapellátás támogatása 273 E Ft/praxis, 21 praxis</t>
  </si>
  <si>
    <t>Kenderke Alapfokú Művészeti Iskola Fürkész Programjának támogatása</t>
  </si>
  <si>
    <t>Magyarországi Bem József Lengyel Kulturális Egyesület tatai tagozatának</t>
  </si>
  <si>
    <t>Magyar Autóklubnak közlekedésbiztonsági oktatás a város általános iskoláiban</t>
  </si>
  <si>
    <t>Jászai Mari színháznak bérlettámogatás</t>
  </si>
  <si>
    <t>Tata és Környéke Turisztikai Egyesületnek a Végvárak védelmében HUSK/1101/1.7.1/0143 projekt megvalósítására kölcsön nyújtása</t>
  </si>
  <si>
    <t>Közlekedési Koordinációs Központnak - Tata, Május 1. út körforgalmi csomópont pénzügyi elszámolás 2014. évről áthúzódó kötelezettség</t>
  </si>
  <si>
    <t>Panel program   346/2009./IX.30./ sz. határozat alapján - Tata, Május 1. út 36.</t>
  </si>
  <si>
    <t>ÚSZT pályázat  fűtéskorszerűsítés /2012, TEF/ 2013, egyéb energiahatékonyságot javító pályázatok</t>
  </si>
  <si>
    <t>016030</t>
  </si>
  <si>
    <t>Állampolgársági ügyek - Anyakönyv</t>
  </si>
  <si>
    <t>109010</t>
  </si>
  <si>
    <t>Szociális Igazgatás</t>
  </si>
  <si>
    <t>044310</t>
  </si>
  <si>
    <t>Öko Program - Gesztenye fasor 43.</t>
  </si>
  <si>
    <t>Pötörke Egyesület támogatása - Pötörke ház felújítása</t>
  </si>
  <si>
    <t>650 M hitelkeret</t>
  </si>
  <si>
    <t>250 M hitelkeret</t>
  </si>
  <si>
    <t>Kossuth téren közterületi szobor felállítása NKA - AN2000N6284 (a 2.000 E Ft-os támogatás 2013-ban önkormányzatunkhoz érkezett)</t>
  </si>
  <si>
    <t>Balatonvilágosi üdülő energiatakarékossági felújítása, cserépkályha építése</t>
  </si>
  <si>
    <t>Tata-Tóparti Viziközmű Társulat készfizető kezességével kapcsolatos követelés teljesülése után felszabadítható</t>
  </si>
  <si>
    <t>2013. évi feladatmutatók elszámolása utáni visszafizetési kötelezettség</t>
  </si>
  <si>
    <t>2014. évi eseti felülvizsgálatra</t>
  </si>
  <si>
    <t>Bírság</t>
  </si>
  <si>
    <t>Irányítószervi támogatás folyósítása</t>
  </si>
  <si>
    <t>Tatai Városkapu Közhasznú Zrt. vezérigazgatójának prémiumfeladatára</t>
  </si>
  <si>
    <t>Tatai Fürdő utcai Óvoda</t>
  </si>
  <si>
    <t>Tatai Geszti Óvoda</t>
  </si>
  <si>
    <t>Tatai Geszti Óvoda - Agostyáni Tagintézménye</t>
  </si>
  <si>
    <t>Tatai Geszti Óvoda összesen</t>
  </si>
  <si>
    <t>Tatai Bartók Béla úti Óvoda</t>
  </si>
  <si>
    <t>Tatai Kertvárosi Óvoda</t>
  </si>
  <si>
    <t>Tatai Kincseskert Óvoda</t>
  </si>
  <si>
    <t>Tatai Kincseskert Óvoda - Szivárvány Tagintézménye</t>
  </si>
  <si>
    <t>Tatai Kincseskert Óvoda összesen</t>
  </si>
  <si>
    <t>Óvodák összesen</t>
  </si>
  <si>
    <t>Szolgáltatások ellenértéke (temető fenntartási hozzájárulás, sírhelydíj, nevezési díj)</t>
  </si>
  <si>
    <t xml:space="preserve"> 2015 – 2024-ig a hosszú lejáratú felhalmozási hitel visszafizetéseket figyelembe véve (E Ft-ban)</t>
  </si>
  <si>
    <t>Tatai Kincseskert Óvoda - Kettő gyermek fürdőszoba-vízvezeték, burkolás</t>
  </si>
  <si>
    <t>Csillagsziget Bölcsőde - Egy gondozóegység vizes blokkjának a teljes felújítása, gondozó egység parkettájának cseréje</t>
  </si>
  <si>
    <t>Kőkúti Általános Iskola - udvari betonsávok aszfaltozása, tanuló asztalok felújítása, tan.székek pótlása, tanterem PVC burkolat csere</t>
  </si>
  <si>
    <t>Tatai Kertvárosi Óvoda - egyetemes konyhagép, üst bekötés</t>
  </si>
  <si>
    <t>Tatai Fürdő utcai Óvoda - billenő serpenyő, főző-sütő edények</t>
  </si>
  <si>
    <t>Középnyugat-magyarországi Közlekedési Központ Zrt. részére szerződés alapján 353/2010.(XI.24.) Tata Kt. határozat</t>
  </si>
  <si>
    <t>Középnyugat-magyarországi Közlekedési Központ Zrt.-nek megállapodás alapján tanulóbérletekre</t>
  </si>
  <si>
    <t xml:space="preserve"> - Bacsó lakótelep belső út, Váczi M. u., Spar előtt szerviz út</t>
  </si>
  <si>
    <t>Tata és Környéke Turisztikai Egyesület (Turisztikai Desztináció Menedzsment) támogatása 270/2009. (VIII.12.) Tata Kt. határozat</t>
  </si>
  <si>
    <t>Klebelsberg Intézményfenntartó Központ tatai intézményének kölcsön nyújtás</t>
  </si>
  <si>
    <t>Klebelsberg Intézményfenntartó Központ tatai intézményének nyújtott kölcsön visszatérülés</t>
  </si>
  <si>
    <t>Informatikai eszközbeszerzés</t>
  </si>
  <si>
    <t>Magyary Zoltán Művelődési Központ színpad felújítása 61/2014. (III.14.) Tata Kt. határozat</t>
  </si>
  <si>
    <t>Balatonvilágosi üdülő energiatakarékos felújítása, cserépkályha építés</t>
  </si>
  <si>
    <t>Járdafelújítások (Komáromi u. Ady E. út, Szilágyi u., Csapó u., Fazekas u., Gesztenyefasor, Agostyáni utca, Május 1 úti járda részek, Agostyán: Szabadság u., Diófa u., Tavasz u. stb.)</t>
  </si>
  <si>
    <t>Akadálymentesítés, közlekedésbiztonság növelése (járdák, gyalogátkelőhelyek akadálymentesítése, korlát elhelyezése, buszparkoló kijelölés)</t>
  </si>
  <si>
    <t>Viziközmű felújítása az ÉDV Zrt. üzemeltetési szerződése szerint</t>
  </si>
  <si>
    <t>Tatai Közös Önkormányzati Hivatal tatai székhely belső udvar felújítása</t>
  </si>
  <si>
    <t>Fényes fürdőn szálláshelyek részbeni felújítása és vízvezeték-szerelés 2014-ről áthúzódó számlák alapján</t>
  </si>
  <si>
    <t>Bacsó B. út kandeláberek kábelcsere 2014-ről áthúzódó számla</t>
  </si>
  <si>
    <t>Menner Bernát Zeneiskola - WC mosdó bűzelzárók miatti bontás, újraalapozás</t>
  </si>
  <si>
    <t>Agostyáni u. 1-3. épületének Tatai Televízió által használt részén homlokzat-felújítás</t>
  </si>
  <si>
    <t>Fényes Fürdő Kft.-nek tagi kölcsön</t>
  </si>
  <si>
    <t>Bacsó B. ltp. belső út, Váczi M. u., Spar előtti szerviz út marás, aszfaltozás</t>
  </si>
  <si>
    <t>Újvilág u. II. ütem mart aszfaltos felújítása, Balogh F. u., Határ u. mart aszfaltos felújítása, Tulipán u., Nyírfa u. mart aszfaltos felújítása</t>
  </si>
  <si>
    <t>Iskolai konyhák felújításának tervei és az átalakítás előkészítése</t>
  </si>
  <si>
    <t>Fekete út, Arany J.u., Komáromi út, Nagykert u. csapadékvíz elvezetés kivitelezés I. ütem</t>
  </si>
  <si>
    <t>Csillagsziget Bölcsőde - élelmezési program, ipari turmixgép, 2 db vár mászóka, gondozónői asztal, radiátor burkolat, faházikó, mozgásfejlesztő eszközök</t>
  </si>
  <si>
    <t>Tatai Geszti Óvoda - mosógép, konyhai páraelszívó, komplex konyhai robotgép, 2 db nagy főzőedény</t>
  </si>
  <si>
    <t>Menner Bernát Zeneiskola - Hangszer, 2 db számítógép</t>
  </si>
  <si>
    <t>Tatai Kertvárosi Óvoda - Elektromos kapcs.szekrény,el.kötések cseréje, járda javítás</t>
  </si>
  <si>
    <t>Vaszary János Általános Iskola Jázmin utcai Tagintézménye - balesetveszélyes udvari burkolat bontása, új burkolat készítése, tereprend., tantermi padok felújítása (első osztályosok részére)</t>
  </si>
  <si>
    <t>Tatai Kincseskert Óvoda - Befogadó élettér pályázat</t>
  </si>
  <si>
    <t>Immateriális javak, informatikai eszközök és egyéb tárgyi eszközök beszerzése</t>
  </si>
  <si>
    <t>Móricz Zsigmond Könyvtár</t>
  </si>
  <si>
    <t xml:space="preserve">Intézmények Gazdasági Hivatala </t>
  </si>
  <si>
    <t>Kuny Domokos Múzeum</t>
  </si>
  <si>
    <t>Városi Önkormányzat Intézmények összesen:</t>
  </si>
  <si>
    <t>- Közös Hivatal székhely szerinti szervezeti egysége</t>
  </si>
  <si>
    <t>- Neszmélyi Kirendeltség</t>
  </si>
  <si>
    <t>Önkormányzati közfoglalkoztatottak éves létszám-erőirányzata</t>
  </si>
  <si>
    <t>Hosszabb időtartamú közfoglalkoztatás</t>
  </si>
  <si>
    <t>Tatai Egészségügyi Alapellátó Intézmény</t>
  </si>
  <si>
    <t>Tatai székhely</t>
  </si>
  <si>
    <t>Dunaalmási Kirendeltség</t>
  </si>
  <si>
    <t>Dunaszentmiklósi Kirendeltség</t>
  </si>
  <si>
    <t>Eszközbeszerzés</t>
  </si>
  <si>
    <t>Hódy Sport Egyesületnek</t>
  </si>
  <si>
    <t>Vívó Sport Egyesületnek</t>
  </si>
  <si>
    <t>Tatai Sportegyesületnek</t>
  </si>
  <si>
    <t>Kiadások</t>
  </si>
  <si>
    <t>Intézmények Gazdasági Hivatala és a hozzá tartozó Intézményei</t>
  </si>
  <si>
    <t xml:space="preserve">Kuny Domokos  Múzeum </t>
  </si>
  <si>
    <t>Személyi juttatások</t>
  </si>
  <si>
    <t>Munkaadót terhelő járulékok és szociális hozzájárulási adó</t>
  </si>
  <si>
    <t>Dologi kiadások</t>
  </si>
  <si>
    <t>Ellátottak pénzbeli juttatása</t>
  </si>
  <si>
    <t>Egyéb működési kiadás</t>
  </si>
  <si>
    <t>Garancia és kezességvállalás</t>
  </si>
  <si>
    <t>Visszatérítendő támogatások és kölcsönök</t>
  </si>
  <si>
    <t>Egyéb működési célú támogatások (vissza nem térítendő)</t>
  </si>
  <si>
    <t xml:space="preserve"> - Általános tartalék</t>
  </si>
  <si>
    <t>Ellátottak pénzbeli juttatásai</t>
  </si>
  <si>
    <t>Hiány finanszírozása belső forrásból:</t>
  </si>
  <si>
    <t>Hiány finanszírozása külső forrásból:</t>
  </si>
  <si>
    <t>Termékek és szolgáltatások</t>
  </si>
  <si>
    <t>Szolgáltatások ellenértéke</t>
  </si>
  <si>
    <t>Tulajdonosi bevételek</t>
  </si>
  <si>
    <t>Iparűzési adóból</t>
  </si>
  <si>
    <t>Visszatérítendő támogatás és kölcsön</t>
  </si>
  <si>
    <t>Egyéb működési célú támogatás (vissza nem térítendő)</t>
  </si>
  <si>
    <t xml:space="preserve"> - Működési céltartalék</t>
  </si>
  <si>
    <t>Beruházás ( ÁFA-val )</t>
  </si>
  <si>
    <t>Felújítás ( ÁFA-val )</t>
  </si>
  <si>
    <t>Egyéb felhalmozási kiadások</t>
  </si>
  <si>
    <t>Egyéb felhalmozási célú támogatások (vissza nem térítendő)</t>
  </si>
  <si>
    <t xml:space="preserve"> - Zárolt tartalék</t>
  </si>
  <si>
    <t>KÖLTSÉGVETÉSI KIADÁSOK ÖSSZESEN</t>
  </si>
  <si>
    <t>FINANSZÍROZÁSI KIADÁSOK ÖSSZESEN</t>
  </si>
  <si>
    <t>KIADÁSOK MINDÖSSZESEN</t>
  </si>
  <si>
    <t>Bevételek</t>
  </si>
  <si>
    <t>Működési támogatások</t>
  </si>
  <si>
    <t>Működési célú támogatások</t>
  </si>
  <si>
    <t>Visszatérítendő támogatások és kölcsönök (igénylés és visszatérülés)</t>
  </si>
  <si>
    <t>Vissza nem térítendő támogatások</t>
  </si>
  <si>
    <t>Felhalmozási célú támogatások</t>
  </si>
  <si>
    <t>Önkormányzati ingatlanon végzett fejlesztések</t>
  </si>
  <si>
    <t>Fényes-fürdő területén fejlesztések végrehajtása (üzemeltetési szerződés alapján)</t>
  </si>
  <si>
    <t>Épület építési beruházások támogatása</t>
  </si>
  <si>
    <t>Építők parkja I. ütem</t>
  </si>
  <si>
    <t>Kormányengedéllyel rendelkező feladatok</t>
  </si>
  <si>
    <t>Kormányengedély módosítást igénylő feladatok</t>
  </si>
  <si>
    <t>Összes hitelfelvétel:</t>
  </si>
  <si>
    <t>Közhatalmi bevétel</t>
  </si>
  <si>
    <t>Vagyoni típusú adók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</si>
  <si>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</si>
  <si>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</si>
  <si>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</si>
  <si>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</si>
  <si>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Gépjárműadó</t>
  </si>
  <si>
    <t xml:space="preserve"> - Talajterhelési díj</t>
  </si>
  <si>
    <t>Működési bevételek</t>
  </si>
  <si>
    <t xml:space="preserve"> - ebből lakbér</t>
  </si>
  <si>
    <t>Ellátási díjak</t>
  </si>
  <si>
    <t>Kamatbevétel</t>
  </si>
  <si>
    <t>Felhalmozási bevételek</t>
  </si>
  <si>
    <t>Ingatlanok (döntéstől számított 3 hónapig)</t>
  </si>
  <si>
    <t>Felhalmozási célú átvett pénzeszközök</t>
  </si>
  <si>
    <t>KÖLTSÉGVETÉSI BEVÉTELEK ÖSSZESEN</t>
  </si>
  <si>
    <t>Előző évi költségvetési maradványának igénybevétele</t>
  </si>
  <si>
    <t>Irányító szervi támogatás</t>
  </si>
  <si>
    <t>FINANSZÍROZÁSI BEVÉTELEK ÖSSZESEN</t>
  </si>
  <si>
    <t>BEVÉTELEK MINDÖSSZESEN</t>
  </si>
  <si>
    <t>(E Ft-ban)</t>
  </si>
  <si>
    <t>Megnevezés</t>
  </si>
  <si>
    <t xml:space="preserve">Eredeti </t>
  </si>
  <si>
    <t>Lehívható központi támogatás Eredeti</t>
  </si>
  <si>
    <t>Foglalkoztatást helyettesítő támogatás</t>
  </si>
  <si>
    <t>Lakásfenntartási támogatás (normatív)</t>
  </si>
  <si>
    <t>Ápolási díj (helyi megállapítás)</t>
  </si>
  <si>
    <t>Tatai fiatalok életkezdési támogatásához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</si>
  <si>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</si>
  <si>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</si>
  <si>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</si>
  <si>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Közgyógyellátás</t>
  </si>
  <si>
    <t>Természetben nyújtott átmeneti segély</t>
  </si>
  <si>
    <t>Természetben nyújtott ellátások összesen</t>
  </si>
  <si>
    <t>Önkormányzatok által folyósított szociális, gyermekvédelmi ellátások összesen:</t>
  </si>
  <si>
    <t>Rendszeres szociális segély (egészségkárosodottak részére)</t>
  </si>
  <si>
    <t>Adósságkezelési szolgáltatással kapcsolatos támogatás</t>
  </si>
  <si>
    <t>Tata</t>
  </si>
  <si>
    <t>Tata összesen</t>
  </si>
  <si>
    <t>Neszmély</t>
  </si>
  <si>
    <t>Neszmély összesen</t>
  </si>
  <si>
    <t>Dunaalmás</t>
  </si>
  <si>
    <t>Dunaalmás összesen</t>
  </si>
  <si>
    <t>Dunaszentmiklós</t>
  </si>
  <si>
    <t>Dunaszentmiklós összesen</t>
  </si>
  <si>
    <t>Aktív korúak rendszeres szociális segélye</t>
  </si>
  <si>
    <t>Működési tartalékok</t>
  </si>
  <si>
    <t>Általános tartalék</t>
  </si>
  <si>
    <t>Működési tartalék</t>
  </si>
  <si>
    <t>Működési céltartalék</t>
  </si>
  <si>
    <t xml:space="preserve">Felhalmozási tartalékok </t>
  </si>
  <si>
    <t>Hitel</t>
  </si>
  <si>
    <t>Hitel (megkötött szerződés alapján)</t>
  </si>
  <si>
    <t>Megkötött szerződés alapján</t>
  </si>
  <si>
    <t>Vaszary János Általános Iskola - elektromos hálózat átalakítása a megnövekedett igényeknek megfelelő hálózatbővítéssel, fogyasztási mérők összevonásával, játszótér kialakítása</t>
  </si>
  <si>
    <t>460/135 hrsz-ú ingatlan megvásárlása (509/2013. (X.31) Tata Kt. határozat</t>
  </si>
  <si>
    <t>Tatai Barokk Fesztivál és Nemzetközi Zenei Mesterkurzus támogatása</t>
  </si>
  <si>
    <t>Hitel felhalmozási célok szerinti bontásban (E Ft-ban)</t>
  </si>
  <si>
    <t>Felhalmozási célú támogatások és átvett pénzeszközök összesen:</t>
  </si>
  <si>
    <t>Tópart sétány közvilágítás (Casablanca- Ökoturisztikai Központ - Pötörke malom) kivitelezés</t>
  </si>
  <si>
    <t>Mód. (V.27.)</t>
  </si>
  <si>
    <t>Adósságkezelési szolgáltatással kapcsolatos lakásfenntartási támogatás</t>
  </si>
  <si>
    <t>Rendszeres gyermekvédelmi támogatás (Erzsébet utalvány)</t>
  </si>
  <si>
    <t>Májusi módosítások</t>
  </si>
  <si>
    <t>Tatai 456/7, 456/8, 456/9 hrsz.-ú ingatlanok villamos energia ellátásához 5/2015. (I.29.) Tata Kt. határozat</t>
  </si>
  <si>
    <t>A tatai 2900 hrsz.-ú ingatlanból 86 m2 nagyságú terület vételára 112/2015. (III.26.) Tata Kt. határozat</t>
  </si>
  <si>
    <t>A tatai 2902/1 hrsz.-ú ingatlanból 187 m2 nagyságú terület vételára 112/2015. (III.26.) Tata Kt. határozat</t>
  </si>
  <si>
    <t>Emlékkereszt felállítása a Mindszenty tér északi sarkán 178/2015. (IV.30.) Tata Kt. határozat</t>
  </si>
  <si>
    <t>Diófa utcában lévő csapadékcsatorna szelvényében lévő beton befolyás eltávolítása</t>
  </si>
  <si>
    <t>Testvérvárosok parkjában lévő szobor díszvilágítása</t>
  </si>
  <si>
    <t>Magnum Hungaria Beta Kft-től térítésmentesen átvett 314 m2 nagyságú ingatlannal kapcsolatos Áfa</t>
  </si>
  <si>
    <t>Tatai Egészségügyi Alapellátó Intézmény - EKG gép, defibrillátor töltő, fóliázó gép, ügyeleti személygépkocsi, új autóra téli gumi</t>
  </si>
  <si>
    <t>Tatai Bartók Béla utcai Óvoda - tárgyi eszköz vásárlás</t>
  </si>
  <si>
    <t>Vaszary János Általános Iskola - tárgyi eszköz vásárlás</t>
  </si>
  <si>
    <t>Intézmények Gazdasági Hivatal - tárgyi eszköz vásárlás</t>
  </si>
  <si>
    <t>Kuny Domokos Múzeum - Immateriális javak, informatikai eszközök és egyéb tárgyi eszközök beszerzése</t>
  </si>
  <si>
    <t>Fényes-fürdőn napközis tábor kialakítása 109/2015. (III.26.) Tata Kt. határozat</t>
  </si>
  <si>
    <t>Fényes-fürdő területén található gyermekmedence felújítási munkálatai 153/2015. (IV.30.) Tata Kt. határozat</t>
  </si>
  <si>
    <t>Tatai Kistérségi Időskorúak Otthona intézmény fejlesztése a „Szociális szakosított ellátást és a gyermekek átmeneti gondozását szolgáló önkormányzati intézmények fejlesztése, felújítása támogatására” elnevezésű pályázatban, önerő 168/2015. (IV.30.) Tata Kt. határozat</t>
  </si>
  <si>
    <t>Általános működési és ágazati feladatok támogatása</t>
  </si>
  <si>
    <t>Magyar Ökomenikus Segélyszervezet Kárpátaljai magyar gyermekek étkeztetésének támogatása</t>
  </si>
  <si>
    <t>Eredeti
250.000 E Ft
6,1 % kamat</t>
  </si>
  <si>
    <t>Eredeti
650.000 E Ft
3,49 % kamat</t>
  </si>
  <si>
    <t xml:space="preserve">Eredeti
összesen
</t>
  </si>
  <si>
    <t>Eredeti
Összeg</t>
  </si>
  <si>
    <t xml:space="preserve">Felhalmozási támogatás </t>
  </si>
  <si>
    <t>Központosított támogatás</t>
  </si>
  <si>
    <t>Tata Város Önkormányzata</t>
  </si>
  <si>
    <t>Tatai Közös Önkormányzati Hivatal tatai székhely</t>
  </si>
  <si>
    <t>Járulék</t>
  </si>
  <si>
    <t>Intézmények Gazdasági Hivatala és a hozzá tartozó intézmények</t>
  </si>
  <si>
    <t>Működési célú támogatások államháztartáson belülről</t>
  </si>
  <si>
    <t>Felhalmozási célú támogatások államháztartáson belülről</t>
  </si>
  <si>
    <t>Betétlekötésből fizetési számlára visszaérkező pénzösszeg</t>
  </si>
  <si>
    <t>Kőkuti Sasok Diák Sportegyesület támogatása</t>
  </si>
  <si>
    <t>Lakossági közműfejlesztési támogatás</t>
  </si>
  <si>
    <t>Felhalmozási célú támogatás államháztartáson kívülre visszatérítendő</t>
  </si>
  <si>
    <t>Magyar Közút Nonprofit Zrt. Támogatása</t>
  </si>
  <si>
    <t>Tatai Német Nemzetiségi Önkormányzat - Testvérvárosok Üvegkönyvéhez támogatás</t>
  </si>
  <si>
    <t xml:space="preserve">Értékvédelmi feladatok támogatása </t>
  </si>
  <si>
    <t>Önkormányzati választásokhoz támogatás</t>
  </si>
  <si>
    <t>Rendszeres gyermekvédelmi támogatáshoz Erzsébet utalvány</t>
  </si>
  <si>
    <t>Működési célú visszatérítendő támogatások, kölcsönök visszatérülése államháztartáson belülről</t>
  </si>
  <si>
    <t>Tatai Német Nemzetiségi Önkormányzat kölcsön visszatérülése</t>
  </si>
  <si>
    <t>Felhalmozási célú támogatások államháztartáson belülről (vissza nem térítendő és visszatérítendő)</t>
  </si>
  <si>
    <t>Magyar Közút Nonprofit Zrt. Kölcsön visszafizetése</t>
  </si>
  <si>
    <t>Betétlekötés céljából átvezetés fizetési számláról</t>
  </si>
  <si>
    <t>Működési célú támogatások államháztartáson kívülről (vissza nem térítendő)</t>
  </si>
  <si>
    <t>Felhalmozási célú átvett pénzeszközök államháztartáson kívülről (vissza nem térítendő és visszatérítendő)</t>
  </si>
  <si>
    <t>Működési célú átvett pénzeszközök (államháztartáson kívülről)</t>
  </si>
  <si>
    <t>Felhalmozási célú átvett pénzeszközök (államháztartáson kívülről)</t>
  </si>
  <si>
    <t>Felhalmozási támogatások</t>
  </si>
  <si>
    <t>Betétlekötlekötésből fizetési számlára visszaérkező összeg</t>
  </si>
  <si>
    <t>104051</t>
  </si>
  <si>
    <t>Rendszeres gyermekvédelmi támogatás</t>
  </si>
  <si>
    <t>Betét lekötés</t>
  </si>
  <si>
    <t>Hitel-és kölcsöntörlesztés</t>
  </si>
  <si>
    <t>Állami támogatás megelőlegezési hitel</t>
  </si>
  <si>
    <t>Hitel-és kölcsöntörlesztés megkötött szerződés alapján</t>
  </si>
  <si>
    <t>Hitel és kölcsön törlesztés</t>
  </si>
  <si>
    <t>Hitel- és kölcsöntörlesztés</t>
  </si>
  <si>
    <t>Betétlekötésből fizetési számláról visszaérkező összeg</t>
  </si>
  <si>
    <t>Mód. (IX.30.)</t>
  </si>
  <si>
    <t>Pro Minoritate Alapítványnak</t>
  </si>
  <si>
    <t>Boldogasszony Iskolanővéreknek</t>
  </si>
  <si>
    <t>Komárom-Esztergom Megyei Diáksport és Szabadidő Egyesületnek</t>
  </si>
  <si>
    <t>Tatai Városkapu Zrt. Támogatása</t>
  </si>
  <si>
    <t>Tata és Környéke Turisztikai Egyesület támogatása</t>
  </si>
  <si>
    <t>Működési célú vissza nem térítendő támogatás államháztartáson belülre</t>
  </si>
  <si>
    <t>Kuny Domokos Múzeumnak</t>
  </si>
  <si>
    <t>Kossuth tér városközpont értékmegőrző rehabilitációja KDOP–3.1.1/A–09-2f-2011-0001</t>
  </si>
  <si>
    <t>Kossuth tér városközpont értékmegőrző rehabilitációja KDOP–3.1.1/A–09-2f-2011-0001 önerő támogatás</t>
  </si>
  <si>
    <t>Háztartásoktól átvett pénzeszköz</t>
  </si>
  <si>
    <t>A Tatabánya-Vértesszőlős-Tata településeket összekötő közlekedési célú kerékpárút építése az Általér mentén KÖZOP-3.2.0/c-08-2010-0003</t>
  </si>
  <si>
    <t>Útfejlesztési hozzájárulás</t>
  </si>
  <si>
    <t>Tata és Környéke Turisztikai Egyesület kölcsön visszafizetése</t>
  </si>
  <si>
    <t>Nemzeti Rehabilitációs és Szociális Hivataltól TÁMOP 1.1.1. Projekt</t>
  </si>
  <si>
    <t>Likvidhitel törlesztés</t>
  </si>
  <si>
    <t>Pótlólagos állami támogatás 2014. évi elszámolás alapján</t>
  </si>
  <si>
    <t>Vis maior támogatás</t>
  </si>
  <si>
    <t>Részesedés értékesítése</t>
  </si>
  <si>
    <t>Jármű értékesítése</t>
  </si>
  <si>
    <t>Likvidihitel felvétel</t>
  </si>
  <si>
    <t>Építés hatósági ügyek</t>
  </si>
  <si>
    <t>Szept-i mód.</t>
  </si>
  <si>
    <t>Tata, Kossuth tér városközpont értékmegőrző rehabilitációja KDOP-3.1.1/A-09-2f-2011-0001</t>
  </si>
  <si>
    <t>„A gyermekétkeztetés feltételeit javító fejlesztések támogatására” elnevezésű pályázat önerő 230/2015. (V.28.) Tata Kt. határozat</t>
  </si>
  <si>
    <t>Kertvárosi Sport és Szabadidőközpont kialakítása - Önkormányzati feladatellátást szolgáló fejlesztések támogatása” elnevezésű pályázat önerő 262/2015. (VI.25.) Tata Kt. Határozat</t>
  </si>
  <si>
    <t>Riasztórendszer a Kiskastélyba</t>
  </si>
  <si>
    <t>Közfoglalkoztatáshoz eszközök</t>
  </si>
  <si>
    <t>8 db tábla a 2014. évi Holokauszt megemlékezésre - áthúzódó számla</t>
  </si>
  <si>
    <t>Felfújható kapu a Minimarathonra</t>
  </si>
  <si>
    <t>Ökoturisztikai tanösvényre szelektív hulladékgyűjtők</t>
  </si>
  <si>
    <t>Komáromi u. - Kőkút köz - Május 1. út vízvezeték kiváltásának kiviteli terve</t>
  </si>
  <si>
    <t>Sport utcai fejlesztéshez kapcsolódó vízvezeték kiváltásának kiviteli terve</t>
  </si>
  <si>
    <t>Fényes-fürdőre eszköz vásárlások 2014-ről áthúzódó</t>
  </si>
  <si>
    <t>Helyőrségi klub eszközeinek vételára</t>
  </si>
  <si>
    <t>Piac téri kiszolgáló út megvalósítása érdekében épület bontás</t>
  </si>
  <si>
    <t>Parkoló építés (parkoló építési hozzájárulásból)</t>
  </si>
  <si>
    <t>Személygépkocsi beszerzés a Tatai Kistérségi Társulástól</t>
  </si>
  <si>
    <t>Tatai Geszti Óvoda Agostyáni Tagintézménye - eszközvásárlás</t>
  </si>
  <si>
    <t>Vaszary János Általános Iskola Jázmin utcai Tagintézménye - tárgyi eszköz vásárlás</t>
  </si>
  <si>
    <t>Kőkút utcai Általános Iskola - tárgyi eszköz vásárlás</t>
  </si>
  <si>
    <t>Kőkút utcai Általános Iskola Fazekas utcai Tagintézménye - tárgyi eszköz vásárlás</t>
  </si>
  <si>
    <t>Kálvária u. 5. szám alatti ingatlan felújítása 229/2015. (V.28.) Tata Kt. határozat</t>
  </si>
  <si>
    <t>Klímaberendezés vásárlása a hivatal épületébe</t>
  </si>
  <si>
    <t>Kőkúti Általános Iskola Fazekas utcai Tagintézménye - Alsó szint járólapozása, bejárati lépcső burkolat cseréje, sátor villanyszerelés</t>
  </si>
  <si>
    <t>Kossuth tér városközpont értékmegőrző rehabilitációja KDOP-3.1.1/A-09-2f-2011-0001</t>
  </si>
  <si>
    <t>Tűz- és katasztrófavédelmi tevékenységek</t>
  </si>
  <si>
    <t>Érdekképviseleti, szakszervezeti tevékenységek támogatása</t>
  </si>
  <si>
    <t>Önkormányzat ifjúsági kezdeményezések és programok</t>
  </si>
  <si>
    <t>Fejlesztési célú hitel kiváltása</t>
  </si>
  <si>
    <t xml:space="preserve"> - Felhalmozási tartalék, melyből 27 075 E Ft felhasználása a bevétel beérkezéséhez kötött</t>
  </si>
  <si>
    <t>Játszóterek felújítása, bekerítése és bővítése új eszközökkel, homokozók kialakítása, 5×18 lakás térvilágítás, Építők parkja kerítés építés,burkolatok, köztéri berendezések, ping pong asztal, parkosítás,focipálya kialakítása, Lovardai játszótér felújítása, Bacsó B ltp, Levendula ltp.-i ivó kutak létesítése, Agostyán játszóvár összeszerelése, minősítése)</t>
  </si>
  <si>
    <t>Várudvari villamos hálózat felújítása ( erőátviteli, dísz-és közvilágítás)</t>
  </si>
  <si>
    <t>Kastély téri támfal felújítása</t>
  </si>
  <si>
    <t>- Magyary Zoltán Népfőiskolai Társaság</t>
  </si>
  <si>
    <t>- Mozgáskorlátozottak Komárom-Esztergom Megyei Egyesületének</t>
  </si>
  <si>
    <t>- Komárom-Esztergom Megyei Diáksport és Szabadidő Egyesületnek</t>
  </si>
  <si>
    <t>- Camelot Kutyás Egyesületnek</t>
  </si>
  <si>
    <t>- Magyar Honvédség 25. Klapka Lövészdandárnak</t>
  </si>
  <si>
    <t>- Tatai és Térségbeli Lovaséletfejlesztő Szövetségnek</t>
  </si>
  <si>
    <t>Mód. (XII.16.)</t>
  </si>
  <si>
    <t>- Peter Cerney Alapítvány támogatása</t>
  </si>
  <si>
    <t>- Közlekedési támogatás tanulóknak</t>
  </si>
  <si>
    <t>- Lakhatási kiadásokhoz kapcsolódó tartozást felhalmozó személyek részére</t>
  </si>
  <si>
    <t>Bejáró tanulók utáni étkezési hozzájárulás fizetése</t>
  </si>
  <si>
    <t>Tatai Városgazda Nonprofit Kft. támogatása (Kossuth téri projekthez: 26 418)</t>
  </si>
  <si>
    <t>Tatai Városi Nyugdíjas klub támogatása</t>
  </si>
  <si>
    <t>Középnyugat-magyarországi Közlekedési Központ Zrt. részére veszteség kiegyenlítésre (ebből 2014. évről áthúzódó kötelezettség: 7 726 E Ft és helyi közösségi közlekedés támogatására 5 216 E Ft)</t>
  </si>
  <si>
    <t>Rákóczi Szövetség támogatása 419/2015. (XI.4.) Tata Kt. határozat</t>
  </si>
  <si>
    <t>- Cirmos Cica Közhasznú Alapítványnak</t>
  </si>
  <si>
    <t>Háztartásoknak nyújtott támogatás</t>
  </si>
  <si>
    <t>Felhalmozási célú támogatások államháztartáson belülre visszatérítendő</t>
  </si>
  <si>
    <t>Felhalmozási célú támogatások visszatérítendő összesen:</t>
  </si>
  <si>
    <t>„Barátságépítők”c. Erasmus+ projekt támogatása</t>
  </si>
  <si>
    <t>Bethlen Alap támogatása 13. Tatai Tehetséggondozó művészeti táborra</t>
  </si>
  <si>
    <t>Nemzeti Fejlesztési Minisztérium támogatása autómentes napra</t>
  </si>
  <si>
    <t>Nyári diákmunka támogatása Munkaügyi Központtól</t>
  </si>
  <si>
    <t>Alkmaars Uitwisselings Comité támogatása alkmaari gyermekolimpiára</t>
  </si>
  <si>
    <t>Decemberi mód.</t>
  </si>
  <si>
    <t>Tata makettjának elkészítése</t>
  </si>
  <si>
    <t>Vaszary villába eszközök beszerzése, kerítés építése</t>
  </si>
  <si>
    <t>Hajdú utca csapadékvíz elvezetésének kiviteli terve</t>
  </si>
  <si>
    <t>Hősök tere locsoló vízmérő kiviteli terve</t>
  </si>
  <si>
    <t>József A. u. csapadékvíz elvezetésének kiviteli terve</t>
  </si>
  <si>
    <t>Fáklya u. csapadékvíz elvezetésének kiviteli terve</t>
  </si>
  <si>
    <t>Komáromi u. 52. szennyvíz bekötés tervezése</t>
  </si>
  <si>
    <t>Közterület-felügyelet eszköz beszerzés</t>
  </si>
  <si>
    <t>Magyary Zoltán Művelődési Központ tetőszerkezet felújítás 353/2015. (X.1.) Tata Kt. határozat</t>
  </si>
  <si>
    <t>Mária Immaculata szobor felújítása 356/2015. (X.1.) Tata Kt. határozat</t>
  </si>
  <si>
    <t>Hivatali lift programozása</t>
  </si>
  <si>
    <t>Irányító szerv javára  teljesített befizetések</t>
  </si>
  <si>
    <t>Irányító szerv javára teljesített befizetések</t>
  </si>
  <si>
    <t>Tata Város Önkormányzatának 2015. évi</t>
  </si>
  <si>
    <t xml:space="preserve">általános működési és ágazati feladatainak támogatásáról </t>
  </si>
  <si>
    <t>Törvény- javaslat hivatk.sz.</t>
  </si>
  <si>
    <t>Jogcímek megnevezése</t>
  </si>
  <si>
    <t>Bevétel 2014. év</t>
  </si>
  <si>
    <t>Bevétel 2015. év</t>
  </si>
  <si>
    <t>Mutató</t>
  </si>
  <si>
    <t>Fajlagos összeg Ft/mutató</t>
  </si>
  <si>
    <t>Összeg (Ft)</t>
  </si>
  <si>
    <r>
      <t>Előirányzat</t>
    </r>
    <r>
      <rPr>
        <b/>
        <sz val="12"/>
        <rFont val="Times New Roman CE"/>
        <family val="1"/>
      </rPr>
      <t xml:space="preserve">           </t>
    </r>
    <r>
      <rPr>
        <b/>
        <sz val="16"/>
        <color indexed="10"/>
        <rFont val="Times New Roman CE"/>
        <family val="1"/>
      </rPr>
      <t>Ft-ban</t>
    </r>
  </si>
  <si>
    <t>Eredeti Előirányzat      E Ft-ban</t>
  </si>
  <si>
    <r>
      <t xml:space="preserve">Módosított Előirányzat </t>
    </r>
    <r>
      <rPr>
        <sz val="10"/>
        <rFont val="Times New Roman CE"/>
        <family val="0"/>
      </rPr>
      <t xml:space="preserve">2015. május     </t>
    </r>
    <r>
      <rPr>
        <sz val="12"/>
        <rFont val="Times New Roman CE"/>
        <family val="1"/>
      </rPr>
      <t xml:space="preserve"> E Ft-ban</t>
    </r>
  </si>
  <si>
    <r>
      <t xml:space="preserve">Módosított Előirányzat </t>
    </r>
    <r>
      <rPr>
        <sz val="10"/>
        <rFont val="Times New Roman CE"/>
        <family val="0"/>
      </rPr>
      <t xml:space="preserve">2015. szeptember     </t>
    </r>
    <r>
      <rPr>
        <sz val="12"/>
        <rFont val="Times New Roman CE"/>
        <family val="1"/>
      </rPr>
      <t xml:space="preserve"> E Ft-ban</t>
    </r>
  </si>
  <si>
    <r>
      <t xml:space="preserve">Módosított Előirányzat </t>
    </r>
    <r>
      <rPr>
        <sz val="10"/>
        <rFont val="Times New Roman CE"/>
        <family val="0"/>
      </rPr>
      <t xml:space="preserve">2015. december          </t>
    </r>
    <r>
      <rPr>
        <sz val="12"/>
        <rFont val="Times New Roman CE"/>
        <family val="1"/>
      </rPr>
      <t xml:space="preserve"> E Ft-ban</t>
    </r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</si>
  <si>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</si>
  <si>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</si>
  <si>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</si>
  <si>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</si>
  <si>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</si>
  <si>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</si>
  <si>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</si>
  <si>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</si>
  <si>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</si>
  <si>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</si>
  <si>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</si>
  <si>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</si>
  <si>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nettó Ft</t>
  </si>
  <si>
    <t>km</t>
  </si>
  <si>
    <t>I.1.bc)</t>
  </si>
  <si>
    <t>Köztemető fenntartással kapcsolatos feladatok támogatása</t>
  </si>
  <si>
    <t>m2</t>
  </si>
  <si>
    <t>104 Ft/m2</t>
  </si>
  <si>
    <t>I.1.bd)</t>
  </si>
  <si>
    <t>Közutak fenntartásának támogatása</t>
  </si>
  <si>
    <t>295 000 Ft/km</t>
  </si>
  <si>
    <t>Település-üzemeltetéshez kapcsolódó feladatellátás támogatása összesen</t>
  </si>
  <si>
    <t>I.1.c)</t>
  </si>
  <si>
    <t>Egyéb önkormányzati feladat támogatása (adóerő képesség 1 lakosra 37 255 Ft)</t>
  </si>
  <si>
    <t>I.1.d)</t>
  </si>
  <si>
    <t>Lakott külterülettel kapcsolatos feladatok támogatása</t>
  </si>
  <si>
    <t>2550 Ft/ külter.lakos</t>
  </si>
  <si>
    <t>I.1.e)</t>
  </si>
  <si>
    <t>Üdülőhelyi feladatok támogatása</t>
  </si>
  <si>
    <t>Ft</t>
  </si>
  <si>
    <t>1,55 Ft/ idegenfor.adóft</t>
  </si>
  <si>
    <t>I.1.</t>
  </si>
  <si>
    <t>A települési önkormányzatok működésének támogatása</t>
  </si>
  <si>
    <t>I. 2.</t>
  </si>
  <si>
    <t>Nem közművel összegyűjtött háztartási szennyvíz ártalmatlanítása</t>
  </si>
  <si>
    <t>m3</t>
  </si>
  <si>
    <t>100 Ft/m3</t>
  </si>
  <si>
    <t xml:space="preserve">I. 6. </t>
  </si>
  <si>
    <t>A 2014. évről áthúzódó bérkompenzáció támogatása</t>
  </si>
  <si>
    <t>II.1.</t>
  </si>
  <si>
    <t>Óvodapedagógusok, és az óvodapedagógusok nevelő munkáját közvetlenül segítők bértámogatása</t>
  </si>
  <si>
    <t>Óvodapedagógusok bértámogatása - 8 hónapra</t>
  </si>
  <si>
    <t>Óvodapedagógusok bértámogatása - 4 hónapra</t>
  </si>
  <si>
    <t>Óvodapedagógusok bértámogatása pótlólagos összege 3 hónapra 2015/2016-ra</t>
  </si>
  <si>
    <t>Óvodapedagógusok munkáját közvetlenül segítők bértámogatása - 8 hónapra</t>
  </si>
  <si>
    <t>Óvodapedagógusok munkáját közvetlenül segítők bértámogatása - 4 hónapra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</si>
  <si>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</si>
  <si>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</si>
  <si>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</si>
  <si>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Óvodaműk. támogatás 8 hónapra: gyermekek nevelése a napi 8 órát nem éri el</t>
  </si>
  <si>
    <t>Óvodaműk. támogatás 8 hónapra: gyermekek nevelése a napi 8 órát eléri</t>
  </si>
  <si>
    <t>Óvodaműk. támogatás 4 hónapra: gyermekek nevelése a napi 8 órát nem éri el</t>
  </si>
  <si>
    <t>Óvodaműk. támogatás 4 hónapra: gyermekek nevelése a napi 8 órát eléri</t>
  </si>
  <si>
    <t>Óvodaműködtetési támogatás összesen</t>
  </si>
  <si>
    <t>II.4.</t>
  </si>
  <si>
    <t>A köznevelési intézmények működtetéséhez kapcsolódó támogatás</t>
  </si>
  <si>
    <t>II.5.</t>
  </si>
  <si>
    <t>Kiegészítő támogatás az óvodapedagógusok minősítéséből adódó többletkiadásokhoz</t>
  </si>
  <si>
    <t>Alapfokú végzettségű Ped. II. kategóriába sorolt</t>
  </si>
  <si>
    <t>352 000 Ft/fő/11hó</t>
  </si>
  <si>
    <t>Alapfokú végzettségű Mesterped. Kategóriába sorolt</t>
  </si>
  <si>
    <t>Ft/fő</t>
  </si>
  <si>
    <t>1 286 000 Ft/fő/11hó</t>
  </si>
  <si>
    <t>Mesterfokú végzettségű Ped. II. kategóriába sorolt</t>
  </si>
  <si>
    <t>386 000 Ft/fő/11hó</t>
  </si>
  <si>
    <t>Mesterfokú végzettségű Mesterped. Kategóriába sorolt</t>
  </si>
  <si>
    <t>1 415 000 Ft/fő/11hó</t>
  </si>
  <si>
    <t>2.mell. II.</t>
  </si>
  <si>
    <t>A települési önkormányzatok egyes köznevelési feladatainak támogatása</t>
  </si>
  <si>
    <t>III.1.</t>
  </si>
  <si>
    <t>Pénzbeli szociális ellátások kiegészítése</t>
  </si>
  <si>
    <t>III.3.</t>
  </si>
  <si>
    <t>Egyes szociális és gyermekjóléti feladatok támogatása</t>
  </si>
  <si>
    <t>III.3.aa)</t>
  </si>
  <si>
    <t>Szociális és gyermekjóléti alapszolgáltatások általános feladatai (társult formában)</t>
  </si>
  <si>
    <t>lakos/fő</t>
  </si>
  <si>
    <t>III.3.ad)</t>
  </si>
  <si>
    <t>Társulási kiegészítés családsegítésre</t>
  </si>
  <si>
    <r>
      <t>Társulási kiegészítés gyermekjóléti ellátásra</t>
    </r>
    <r>
      <rPr>
        <sz val="12"/>
        <rFont val="Times New Roman CE"/>
        <family val="1"/>
      </rPr>
      <t xml:space="preserve"> a </t>
    </r>
    <r>
      <rPr>
        <sz val="10"/>
        <rFont val="Times New Roman CE"/>
        <family val="1"/>
      </rPr>
      <t>0-17 éves korcsoportos lakosokra</t>
    </r>
  </si>
  <si>
    <t>III.a)</t>
  </si>
  <si>
    <t>Szociális és gyermekjóléti alapszolgáltatások általános feladatai összesen</t>
  </si>
  <si>
    <t>III.3.c)</t>
  </si>
  <si>
    <t>Szociális étkeztetés - társulási kiegészítéssel (55 360 Ft fajlagos összeg 110 %-a)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</si>
  <si>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</si>
  <si>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</si>
  <si>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</si>
  <si>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</si>
  <si>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</si>
  <si>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</si>
  <si>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</si>
  <si>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Hajléktalanok nappali intézményi ellátása - társult formában, ezért a fajlagos összeg 120 %-a a támogatás</t>
  </si>
  <si>
    <t>III.3.j)</t>
  </si>
  <si>
    <t>Gyermekek napközbeni ellátása</t>
  </si>
  <si>
    <t>III.3.ja)</t>
  </si>
  <si>
    <t xml:space="preserve">Bölcsődei ellátás - nem fogyatékos, nem hátrányos helyzetű gyermek </t>
  </si>
  <si>
    <t>Bölcsődei ellátás - nem fogyatékos, hátrányos helyzetű gyermek (fajlagos összeg 105 %-a)</t>
  </si>
  <si>
    <t>Bölcsődei ellátás - nem fogyatékos, halmozottan hátrányos helyzetű gyermek (fajlagos összeg 110 %-a)</t>
  </si>
  <si>
    <t>Bölcsődei ellátás - fogyatékos gyermek (fajlagos összeg 150 %-a)</t>
  </si>
  <si>
    <t>Bölcsődei ellátás összesen: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</si>
  <si>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</si>
  <si>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</si>
  <si>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</si>
  <si>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</si>
  <si>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>III.4./</t>
  </si>
  <si>
    <t>Kistérségi Idősk. Otthona állami támogatása - szakmai dolgozók bértám.</t>
  </si>
  <si>
    <t>Kistérségi Idősk. Otthona állami támogatása - intézményüzemeltetés tám.</t>
  </si>
  <si>
    <t>III.4.</t>
  </si>
  <si>
    <t>Kistérségi Időskorúak Otthona állami támogatása - átadandó Kist.Társ.</t>
  </si>
  <si>
    <t xml:space="preserve">III.5. </t>
  </si>
  <si>
    <t>Gyermekétkeztetés támogatása</t>
  </si>
  <si>
    <t>III.5.a)</t>
  </si>
  <si>
    <t xml:space="preserve">Finanszírozás szempontjából elismert dolgozók bértámogatása </t>
  </si>
  <si>
    <t>fő/év</t>
  </si>
  <si>
    <t>III.5.b)</t>
  </si>
  <si>
    <t>Gyermekétkeztetés üzemeltetési támogatása</t>
  </si>
  <si>
    <t>Táblázat alatt Megjegyzésben magyarázat</t>
  </si>
  <si>
    <t>Gyermekétkeztetés támogatása összesen</t>
  </si>
  <si>
    <t>III.6.</t>
  </si>
  <si>
    <t>Szociális ágazati pótlék</t>
  </si>
  <si>
    <t>igénylés szerint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</si>
  <si>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</si>
  <si>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</si>
  <si>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</si>
  <si>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</si>
  <si>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</t>
  </si>
  <si>
    <t>Könyvtári, közművelődési és múzeumi feladatok támogatása</t>
  </si>
  <si>
    <t>IV.1.a)</t>
  </si>
  <si>
    <t>Tata Kuny Domokos Múzeum feladatainak támogatása</t>
  </si>
  <si>
    <t>IV.1.d)</t>
  </si>
  <si>
    <t>Települési önk.támog. a nyilvános könyvtári ellátási és közműv. feladatokhoz</t>
  </si>
  <si>
    <t>IV.1.i)</t>
  </si>
  <si>
    <t>A települési önkormányzatok könyvtári célú érdekeltségnövelő támogatása</t>
  </si>
  <si>
    <t>2.mell. IV.</t>
  </si>
  <si>
    <t>A települési önkormányzatok kulturáli feladatainak támogatása</t>
  </si>
  <si>
    <t>V.</t>
  </si>
  <si>
    <t>BESZÁMÍTÁS</t>
  </si>
  <si>
    <r>
      <t xml:space="preserve">Önkormányzat elvárt bevétele: </t>
    </r>
    <r>
      <rPr>
        <b/>
        <sz val="12"/>
        <rFont val="Times New Roman CE"/>
        <family val="1"/>
      </rPr>
      <t xml:space="preserve">2013. évi </t>
    </r>
    <r>
      <rPr>
        <sz val="12"/>
        <rFont val="Times New Roman CE"/>
        <family val="1"/>
      </rPr>
      <t>iparűzési adóalap 0,55 %-a</t>
    </r>
  </si>
  <si>
    <t>0,5 %</t>
  </si>
  <si>
    <t>0,55 %</t>
  </si>
  <si>
    <t>Differenciálás: Támogatás csökkentés 100 % lenne, az adóerő-képesség miatt, de közös hivatal székhelye miatt 10 %-kal csökkenthető, ezért 90 % a támogatás csökkentés.</t>
  </si>
  <si>
    <t>csökk.</t>
  </si>
  <si>
    <t>95 %</t>
  </si>
  <si>
    <t>10 % csökk.</t>
  </si>
  <si>
    <t>90 %</t>
  </si>
  <si>
    <t>2.mell. V.</t>
  </si>
  <si>
    <r>
      <t xml:space="preserve">Támogatás csökkentés a következő </t>
    </r>
    <r>
      <rPr>
        <b/>
        <sz val="12"/>
        <rFont val="Times New Roman CE"/>
        <family val="1"/>
      </rPr>
      <t>sorrend szerint</t>
    </r>
    <r>
      <rPr>
        <sz val="12"/>
        <rFont val="Times New Roman CE"/>
        <family val="1"/>
      </rPr>
      <t xml:space="preserve"> I.1.c), I.1.d), I.1.e), I.1.ba),  I.1.bb),  I.1.bc),  I.1.bd),  I.1.a) támogatás összegéig terheli az önkormányzatot.</t>
    </r>
  </si>
  <si>
    <t>2. melléklet jogcímeihez ÁLLAMI TÁMOGATÁS MINDÖSSZESEN</t>
  </si>
  <si>
    <t>Visszatérő forrásokkal kapcsolatos beruházás</t>
  </si>
  <si>
    <t>Mód. (II.24.)</t>
  </si>
  <si>
    <t>Mód.
(II.24.)</t>
  </si>
  <si>
    <t>Lehívható központi támogatás Mód. (II.24.)</t>
  </si>
  <si>
    <t>Mód. (II.24.)
250.000 E Ft
6,1 % kamat</t>
  </si>
  <si>
    <t>Mód. (II.24.)
650.000 E Ft
3,49 % kamat</t>
  </si>
  <si>
    <t>Mód. (II.24.)
166.394 E Ft
2,3% kamat</t>
  </si>
  <si>
    <t>Mód. (II.24.)
összesen</t>
  </si>
  <si>
    <t>Mód. (II.24.)
Összeg</t>
  </si>
  <si>
    <t>Napelemes rendszer kiépítése a Kőkúti Általános Iskola KEOP 4.10.0/N/14-2014-0382</t>
  </si>
  <si>
    <t>Ötpróba Rióba</t>
  </si>
  <si>
    <t>Bursa ösztöndíj visszafizetése</t>
  </si>
  <si>
    <t>Mezőgazdasági és Vidékfejlesztési Minisztérium Földalapú támogatása</t>
  </si>
  <si>
    <t>Természetben nyújtott szociális segély</t>
  </si>
  <si>
    <t>2016. 02. módosítás</t>
  </si>
  <si>
    <t xml:space="preserve">Építők parkja I. ütem </t>
  </si>
  <si>
    <t>1650/2 hrsz-ú ingatlanból 21 m2 vételára</t>
  </si>
  <si>
    <t>Autómentes napra eszközök beszerzése</t>
  </si>
  <si>
    <t>Móricz Zsigmond Városi Könyvtár eszközbeszerzése</t>
  </si>
  <si>
    <t>Tatai Kincseskert Óvoda Szivárvány Tagintézménye - eszközbeszerzés</t>
  </si>
  <si>
    <t>2016. 02. havi módosítás</t>
  </si>
  <si>
    <t>Vaszary János Általános Iskolában "Kicsik kertje" bontási és építési munkái</t>
  </si>
  <si>
    <t>Eötvös József Gimnázium díszvilágításának felújítása</t>
  </si>
  <si>
    <t>Balatonvilágosi üdülőben konyha felújítás</t>
  </si>
  <si>
    <t>Pedagógus szakképzettséggel rendelkező, óvodapedagógusok munkáját közvetlenül segítők bértámogatása</t>
  </si>
  <si>
    <t>Pedagógus szakképzettséggel rendelkező, óvodapedagógusok munkáját közvetlenül segítők pótlólagos támogatása</t>
  </si>
  <si>
    <t>102 021</t>
  </si>
  <si>
    <t>Időskorúak tartós bentlakásos ellátása</t>
  </si>
  <si>
    <t>102 030</t>
  </si>
  <si>
    <t>Időskorúak nappali ellátása</t>
  </si>
  <si>
    <t>101 221</t>
  </si>
  <si>
    <t>Fogyatékos személyek nappali ellátása</t>
  </si>
  <si>
    <t>104 042</t>
  </si>
  <si>
    <t>Gyermekjólét szolgálat</t>
  </si>
  <si>
    <t>107 013</t>
  </si>
  <si>
    <t>Hajléktalanok átmeneti ellátása</t>
  </si>
  <si>
    <t>Hajléktalanok nappali ellátása</t>
  </si>
  <si>
    <t>107 051</t>
  </si>
  <si>
    <t>Szociális étkeztetés</t>
  </si>
  <si>
    <t>107 052</t>
  </si>
  <si>
    <t>Házi segítségnyújtás</t>
  </si>
  <si>
    <t>107 054</t>
  </si>
  <si>
    <t>Családsegítés</t>
  </si>
  <si>
    <t>101 143</t>
  </si>
  <si>
    <t>Helyszíni bírság</t>
  </si>
  <si>
    <t xml:space="preserve">Megelőlegezett állami támogatás </t>
  </si>
  <si>
    <t>Megelőlegezett állami támogatás</t>
  </si>
  <si>
    <t>Bercsényi u. 7. szám alatti ingatlanból 945/1095 tulajdoni hányad megvásárlása 2015. évi részlet 331/2015. (VIII.24.) Tata Kt. határozat, 396/2015. (X.16.) Tata Kt. határozat</t>
  </si>
  <si>
    <t>Közvilágítás kiépítése a Naplókert utcában</t>
  </si>
  <si>
    <t>Kiskastélyba kis értékű eszközök vásárlása</t>
  </si>
  <si>
    <t>Fényes fürdő hivatali üdülőbe konyhabútor beszerzés</t>
  </si>
  <si>
    <t>Magyary Zoltán Művelődési Központba fénytechnikai eszközök vásárlása</t>
  </si>
  <si>
    <t>Működési célú átvett pénzeszköz államháztartáson kívülről (vissza nem térítendő, és visszatérítendő)</t>
  </si>
  <si>
    <t>Működési célú támogatások államháztartáson belülről (vissza nem térítendő, és visszatérítendő)</t>
  </si>
  <si>
    <t>107 015</t>
  </si>
  <si>
    <t>Mód (II.24)</t>
  </si>
  <si>
    <t>Működési- és felhalmozási tartalék</t>
  </si>
  <si>
    <t>Teljesítés</t>
  </si>
  <si>
    <t>Lehívható központi támogatás Teljesítés</t>
  </si>
  <si>
    <t>Teljesítés
250.000 E Ft
6,1 % kamat</t>
  </si>
  <si>
    <t>Teljesítés
650.000 E Ft
3,49 % kamat</t>
  </si>
  <si>
    <t>Teljesítés
166.394 E Ft
2,3% kamat</t>
  </si>
  <si>
    <t>Teljesítés
összesen</t>
  </si>
  <si>
    <t>Teljesítés
Összeg</t>
  </si>
  <si>
    <t>Teljesítés %-a</t>
  </si>
  <si>
    <t>Intézmények Gazdasági Hivatala</t>
  </si>
  <si>
    <t>Nyitó pénzkészlet</t>
  </si>
  <si>
    <t>Egyéb sajátos elszámolások</t>
  </si>
  <si>
    <t>Pénzeszközök változásának bemutatása</t>
  </si>
  <si>
    <t>Igazgatás szolgáltatás díja</t>
  </si>
  <si>
    <t>Intézmény átszervezés miatt</t>
  </si>
  <si>
    <t>Letéti számla nyitó egyenlege</t>
  </si>
  <si>
    <t xml:space="preserve">Bevételek </t>
  </si>
  <si>
    <t>Kerekítési különbözet</t>
  </si>
  <si>
    <t>Bank-és pénztárszámlák záró egyenlege</t>
  </si>
  <si>
    <t xml:space="preserve"> </t>
  </si>
  <si>
    <t>A számítások alapja a 2015. évben igénybevett közvetett támogatás összege</t>
  </si>
  <si>
    <t>Önkormányzati döntés alapján (I-III)</t>
  </si>
  <si>
    <t>I. Adóelengedés</t>
  </si>
  <si>
    <t>1) Építményadó</t>
  </si>
  <si>
    <t xml:space="preserve"> - jövedelemhez kötött mentesség</t>
  </si>
  <si>
    <r>
      <t xml:space="preserve"> - lakás célú 30 m</t>
    </r>
    <r>
      <rPr>
        <vertAlign val="superscript"/>
        <sz val="12"/>
        <rFont val="Times New Roman CE"/>
        <family val="0"/>
      </rPr>
      <t>2</t>
    </r>
    <r>
      <rPr>
        <sz val="12"/>
        <rFont val="Times New Roman CE"/>
        <family val="1"/>
      </rPr>
      <t xml:space="preserve"> alatti zártkerti építmény</t>
    </r>
  </si>
  <si>
    <t>2.) Iparűzési adó:</t>
  </si>
  <si>
    <t xml:space="preserve"> - 2,5 M Ft alatti vállalkozási szintű adó</t>
  </si>
  <si>
    <t>Építményadó</t>
  </si>
  <si>
    <t xml:space="preserve"> - üdülő lakás adómértékkel</t>
  </si>
  <si>
    <t>III. Méltányossági eljárás keretében nyújtott adó,- pótlék,- és bírság elengedés, valamint fizetési könnyítés részletfizetésre, fizetési halasztásra vonatkozóan:</t>
  </si>
  <si>
    <t xml:space="preserve"> - építményadó</t>
  </si>
  <si>
    <t xml:space="preserve"> - telekadó</t>
  </si>
  <si>
    <t xml:space="preserve"> - iparűzési adó</t>
  </si>
  <si>
    <t xml:space="preserve"> - gépjárműadó</t>
  </si>
  <si>
    <t xml:space="preserve"> - késedelmi pótlék, bírság</t>
  </si>
  <si>
    <t xml:space="preserve"> - talajterhelési díj</t>
  </si>
  <si>
    <t>2. Ellátottak térítési díjának, kártérítésének méltányossági elengedése:</t>
  </si>
  <si>
    <t>4. Lakossági lakásértékesítési vételár elengedése</t>
  </si>
  <si>
    <t>5. Kistérségi Társulással szembeni követelés elengedése a 377/2015.(X.1.) határozat alapján</t>
  </si>
  <si>
    <t>3. Ingatlan hasznosításból származó bevételből nyújtott kedvezmény, mentesség</t>
  </si>
  <si>
    <t>Összes közvetett támogatás helyi adóknál és gépjárműadónál</t>
  </si>
  <si>
    <t>Fizetési halasztás összesen</t>
  </si>
  <si>
    <t>Részletfizetési kedvezmény összesen</t>
  </si>
  <si>
    <t>Adóelengedés (az előírt adó méltányossági kérelem alapján elengedésre került)</t>
  </si>
  <si>
    <t>Adókedvezmény összesen</t>
  </si>
  <si>
    <t>Adóelengedés összesen</t>
  </si>
  <si>
    <t>II. Adókedvezmény</t>
  </si>
  <si>
    <t>1. Helyi adók, gépjárműadó</t>
  </si>
  <si>
    <t>Közvetett támogatások 2015. évi összege (E Ft-ban)</t>
  </si>
  <si>
    <t>Összes közvetett támogatás</t>
  </si>
  <si>
    <t>Saját bevétel és adósságot keletkeztető ügyletből eredő fizetési kötelezettség</t>
  </si>
  <si>
    <t>2016.</t>
  </si>
  <si>
    <t>2017.</t>
  </si>
  <si>
    <t>2018.</t>
  </si>
  <si>
    <t>2019.</t>
  </si>
  <si>
    <t>Helyi adók</t>
  </si>
  <si>
    <t>Osztalék, koncessziós díj, hozambevétel (kamatbevétel)</t>
  </si>
  <si>
    <t>Díjak, pótlékok, bírságok</t>
  </si>
  <si>
    <t>Talajterhelési díj</t>
  </si>
  <si>
    <t>Szolgáltatások ellenértéke (temető fenntartási hozzájárulás,sírhelydíj, nevezési díj)</t>
  </si>
  <si>
    <t>Tulajdonosi bevétel (használatba adásból, üzemeltetésbe adásból származó bevétel)</t>
  </si>
  <si>
    <t>- ebből lakbér</t>
  </si>
  <si>
    <t>Pótlék, bírság</t>
  </si>
  <si>
    <t>Tárgyi eszközök, immateriális javak, és önkormányzati vagyonértékesítésből származó bevétel (ÁFA nélküli, csak önkormányzat)</t>
  </si>
  <si>
    <t>SAJÁT BEVÉTELEK</t>
  </si>
  <si>
    <t>Saját bevételek 50 %-a</t>
  </si>
  <si>
    <t>Előző év (ek) ben keletkezett tárgyévet terhelő fizetési kötelezettség</t>
  </si>
  <si>
    <t>Hosszú lejáratú hitel tőke és kamatfizetési kötelezettsége</t>
  </si>
  <si>
    <t>Tárgyévben keletkezett, illetve keletkező, tárgyévet terhelő fizetési kötelezettség</t>
  </si>
  <si>
    <t>FIZETÉSI KÖTELEZETTSÉG ÖSSZESEN</t>
  </si>
  <si>
    <t xml:space="preserve">Fizetési kötelezettség csökkentett saját bevétel 50 %-a </t>
  </si>
  <si>
    <t>Több éves kihatással járó feladatok</t>
  </si>
  <si>
    <t xml:space="preserve">Hitel és kölcsön törlesztő részlet a tárgyévet követő </t>
  </si>
  <si>
    <t>Hosszú lejáratú kötelezettségek összesen</t>
  </si>
  <si>
    <t>1. évben</t>
  </si>
  <si>
    <t>2. évben</t>
  </si>
  <si>
    <t>3.évben</t>
  </si>
  <si>
    <t>4.évben</t>
  </si>
  <si>
    <t>5.évben</t>
  </si>
  <si>
    <t>6. és azt követő években</t>
  </si>
  <si>
    <t>Hiteltörlesztés államháztartáson kívülre</t>
  </si>
  <si>
    <t>Hitelek alakulása (E Ft-ban)</t>
  </si>
  <si>
    <t>Szerződő bank, illetve egyéb szervezet</t>
  </si>
  <si>
    <t>Hitelfelvétel</t>
  </si>
  <si>
    <t>Lejárat éve</t>
  </si>
  <si>
    <t>2015. évi nyitó állomány</t>
  </si>
  <si>
    <t>2015.12.31-ig hitel bevétel</t>
  </si>
  <si>
    <t xml:space="preserve">2015.12.31-ig törlesztés </t>
  </si>
  <si>
    <t>2015.12.31-ei állomány</t>
  </si>
  <si>
    <t>2016. évi törlesztő részlet</t>
  </si>
  <si>
    <t>éve</t>
  </si>
  <si>
    <t>összege</t>
  </si>
  <si>
    <t xml:space="preserve">Hosszú lejáratú fejlesztési hitel  </t>
  </si>
  <si>
    <t>RFF Zrt.</t>
  </si>
  <si>
    <t>Hosszú lejáratú fejlesztési hitel</t>
  </si>
  <si>
    <t>UniCredit Bank</t>
  </si>
  <si>
    <t>Hosszú lejáratú adósságmegújító hitel</t>
  </si>
  <si>
    <t>MTB Zrt.</t>
  </si>
  <si>
    <t>Hosszú lejáratú hitelek összesen</t>
  </si>
  <si>
    <t>Feladat megnevezése</t>
  </si>
  <si>
    <t>Várható befejezés éve</t>
  </si>
  <si>
    <t>Bekerülési költség nem felhalmozási kiadásokkal együtt</t>
  </si>
  <si>
    <t>Előző években kifizetett összeg és nem felhalmozási kiadások</t>
  </si>
  <si>
    <t>2016. évre tervezett kifizetés összege</t>
  </si>
  <si>
    <t>2017. évre és az azt követő időszakra tervezett kifizetés</t>
  </si>
  <si>
    <t>2015. évi teljesítés</t>
  </si>
  <si>
    <t>A munka és a magánélet összehangolása a Tatai Polgármesteri Hivatalban TÁMOP-2.4.5-12/7-2012-0705</t>
  </si>
  <si>
    <t>Kossuth tér városközpont értékmegőrző rehabilitációja KDOP–3.1.1/A–09-1f-2010-0001</t>
  </si>
  <si>
    <t>Tatai 17/4 hrsz-ú ingatlanon sportcsarnok kialakítása kapcsolódó munkákkal együtt (közmű, út)</t>
  </si>
  <si>
    <t>Kosárlabdacsarnok építés kapcsolódó munkákkal együtt (közmű, út)</t>
  </si>
  <si>
    <t>Hiteltörlesztés évenkénti megoszlása (E Ft-ban)</t>
  </si>
  <si>
    <t>Teljesítés         E Ft-ban</t>
  </si>
  <si>
    <t>2015.december 31. napján folyamatban lévő peres és nem peres ügyek</t>
  </si>
  <si>
    <t>Cím</t>
  </si>
  <si>
    <t>Ügy  állása</t>
  </si>
  <si>
    <t>Mindszenty tér 9. 1/3.</t>
  </si>
  <si>
    <t>Május 1 út 49. fsz. 3.</t>
  </si>
  <si>
    <t>Almási u. 30.</t>
  </si>
  <si>
    <t>karbantartási kötelezettség elmulasztása</t>
  </si>
  <si>
    <t>Mocsai u. 1.</t>
  </si>
  <si>
    <t>Szélkút u. 6. fsz. 1.</t>
  </si>
  <si>
    <t>tartozásra: fizetési meghagyás, majd végrehajtás, lakás kiürítése ügyében a tárgyalás 2016.03.02-án</t>
  </si>
  <si>
    <t>tárgyalás: 2016.április 12.</t>
  </si>
  <si>
    <t>ítélet, mely még nem jogerős</t>
  </si>
  <si>
    <t>Baji út 35/1. 1/5.</t>
  </si>
  <si>
    <t>ítélet, tartozását rendezte</t>
  </si>
  <si>
    <t>Kossuth tér 8.</t>
  </si>
  <si>
    <t>Szélkút u. 4. 1/2.</t>
  </si>
  <si>
    <t>szünetelés</t>
  </si>
  <si>
    <t>Szélkút u. 9. fsz. 2.</t>
  </si>
  <si>
    <t>Szélkút u. 6. fsz. 2.</t>
  </si>
  <si>
    <t>ítélet, végrehajtási eljárás folyamatban</t>
  </si>
  <si>
    <t>Szélkút u. 4. fsz. 2.</t>
  </si>
  <si>
    <t>Kosztolányi D. u. 2/1. fsz. 1.</t>
  </si>
  <si>
    <t>Szélkút u. 7. fsz. 2.</t>
  </si>
  <si>
    <t>II. fokú ítélet kiürítésre, tartozás megfizetésére</t>
  </si>
  <si>
    <t>Szélkút u 9. fsz. 1.</t>
  </si>
  <si>
    <t>Komáromi u. 4.</t>
  </si>
  <si>
    <t>Mindszenty tér 12. 1/4.</t>
  </si>
  <si>
    <t>Szélkút u. 3/5.</t>
  </si>
  <si>
    <t>az ítélet ellen az ügyfél fellebbezett, törvényszéki ítélet még nincs</t>
  </si>
  <si>
    <t>Szélkút u. 7. 1/1.</t>
  </si>
  <si>
    <t>ítélet, tartozásukat rendezték</t>
  </si>
  <si>
    <t>Szélkút u 6. 1/2.</t>
  </si>
  <si>
    <t>Mindszenty tér 16. 1/4.</t>
  </si>
  <si>
    <t>Szélkút u. 8. 1/3.</t>
  </si>
  <si>
    <t>Szélkút u. 8. 1/1.</t>
  </si>
  <si>
    <t>Oroszlány, Népek Barátsága u. 10. 2/7.</t>
  </si>
  <si>
    <t>közterület használati díj tartozás, végrehajtási eljárás</t>
  </si>
  <si>
    <t>Baj, Tóvárosi u. 23. 1/8.</t>
  </si>
  <si>
    <t>lakáshasználati, garázs bérleti díj és felújítási ktg., végrehajtási eljárás</t>
  </si>
  <si>
    <t>Szomód, Felsőgyep</t>
  </si>
  <si>
    <t>Budapest, Virágvölgy u. 9.</t>
  </si>
  <si>
    <t>Budapest, József krt. 69.</t>
  </si>
  <si>
    <t>Tatabánya, Jókai M. u. 29.</t>
  </si>
  <si>
    <t>Vasad, Ifjúság u. 28.</t>
  </si>
  <si>
    <t>Sopron, Templom u. 3</t>
  </si>
  <si>
    <t>Budapest, Ostrom u. 14. fsz. 1.</t>
  </si>
  <si>
    <t>Tata, Kocsi u. 31.</t>
  </si>
  <si>
    <t>Tata, Újhegyi u. 7.</t>
  </si>
  <si>
    <t>Neszmély, Vízimolnár u. 32.</t>
  </si>
  <si>
    <t>Tata, Kiss E. u. 13.</t>
  </si>
  <si>
    <t>bérleti díj tartozás jogerős ítélet alapján, végrehajtási eljárás</t>
  </si>
  <si>
    <t>Újlengyel, Petőfi S. u. 48.</t>
  </si>
  <si>
    <t>használati díj végrehajtása, ügy lezárult</t>
  </si>
  <si>
    <t>Felperesnek Tata Város Önkormányzata alperes ellen kártérítés és járulékai iránt indított per a Tatai Járásbíróság előtt van folyamatban I. fokon. A pertárgy értéke 2 365 E Ft.</t>
  </si>
  <si>
    <t>Felperesnek Tata Város Önkormányzata alperes ellen tulajdonjog és földhasználati jog megállapítása iránt indított per a Tatai Járásbíróság előtt van folyamatban I. fokon. A per jelenleg szünetel. A pertárgy értéke 2 140  E Ft.</t>
  </si>
  <si>
    <t>Tata Város Önkormányzata felperes, az alábbiakban felsorolt alperesek ellen lakás kiürítése és bérleti díjtartozás megfizetése iránt indított pereket, melyek a Tatai Járásbíróságon I. fokon folyamatban vannak, vagy már született ítélet bennük, de az még nem jogerős, illetve a jogerős ítélet alapján a végrehajtási eljárás megindult:</t>
  </si>
  <si>
    <t>ítélet lakás kiürítésére, végrehajtás szüneteltetve</t>
  </si>
  <si>
    <t>szünetelés, eljárás folytatási kérelem 2015. február 3.</t>
  </si>
  <si>
    <t>Újvilág u.. 7. (Szélkút u. 9. 1/1.)</t>
  </si>
  <si>
    <t xml:space="preserve">Tata Város Önkormányzata, mint I. r. felperes, és a Tatai Közös Önkormányzati Hivatal, mint II. r. felperes, alperes ellen keresetet indított, mivel alperes a facebookon közzétett nyilatkozatával felperesek jóhírnevét megsértette. A keresetben a felperesek kérték a Törvényszéktől hogy a jogsértést állapítsa meg, a jogsértőt szólítsa fel a jogsértés abbahagyására, és tiltsa el a további jogsértésektől, kötelezze a jogsértőt elégtételre megfelelő nagy nyilvánosság előtt a saját költségére, valamint kötelezze a jogsértőt 5 000 E Ft  sérelemdíj megfizetésére. A Tatabányai Törvényszék 20.P.21.437/2014/5. számú ítélettel részben helyt adott felperesek keresetének, annyiban nem adott helyt neki, hogy az 5 000 E Ft összegű sérelemdíj helyett 50-50 E Ft összegű sérelemdíj megfizetésére kötelezte alperest. </t>
  </si>
  <si>
    <t>Állományi statisztikai létszám(fő)</t>
  </si>
  <si>
    <t>Eredeti átlag létszám(fő)</t>
  </si>
  <si>
    <t>A Győri Ítélőtábla a Tatabányai Törvényszék ítéletét alperes fellebbezése folytán a fellebbezett rész tekintetében megváltoztatta a Pf.I.20.065/2015/4/I. számú, 2015. 09. 10-i jogerős ítéletével.          A jogerős ítélet II. r. felperes keresetét elutasította, a sérelemdíj mértékét 10 E Ft-ra mérsékelte, az első fokú ítélet jogsértés megállapítására és elégtétel nyújtására vonatkozó rendelkezését a másod fokú ítélet szerinti szövegezéssel hagyta helyben, és meghatározta alperes által közzéteendő szöveget, kötelezte alperest, hogy fizessen meg 10 E Ft összegű perköltséget I. r. felperes részére, míg II. r. felperest kötelezte 15 E Ft másodfokú perköltség megfizetésére alperes részére.</t>
  </si>
  <si>
    <t>Tata Város Önkormányzata és a Tatai Közös Önkormányzati Hivatal által adott visszatérítendő és vissza nem térítendő támogatások
 2015. évi alakulása</t>
  </si>
  <si>
    <t>Az Önkormányzat adósságot keletkeztető ügyleteinek és azok fedezetére felhasználható saját bevételeink alakulásáról
 (E Ft-ban)</t>
  </si>
  <si>
    <t>Tata Város Önkormányzat felperes által alperes ellen, közigazgatási határozat bírósági felülvizsgálata iránt indított a Tatabányai Közigazgatási és Munkaügyi Bíróság előtt 4.K.27.034/2015. számon folyamatban levő per, mely folyamatban van I. fokon.</t>
  </si>
  <si>
    <t>A felperes által, Tata Város Önkormányzata alperes ellen, földhasználati jog és telki szolgalmi  jog megállapítása iránt indított per a Tatai Járásbíróság előtt van folyamatban újra I. fokon. 
Fenti használati jogokért az Önkormányzat viszont keresetében ellenértéket kért. 
A pertárgy értéke 2 000 E Ft.</t>
  </si>
  <si>
    <t>A felperes által, Tata Város Önkormányzata alperes ellen 22 000 E Ft kártérítés megfizetése és járulékai iránt indított per a Tatabányai Törvényszék előtt van folyamatban I. fokon.</t>
  </si>
  <si>
    <t>Per értéke(E Ft-ban)</t>
  </si>
  <si>
    <r>
      <t xml:space="preserve">Módosított Előirányzat </t>
    </r>
    <r>
      <rPr>
        <sz val="10"/>
        <rFont val="Times New Roman CE"/>
        <family val="0"/>
      </rPr>
      <t xml:space="preserve">2016. február          </t>
    </r>
    <r>
      <rPr>
        <sz val="12"/>
        <rFont val="Times New Roman CE"/>
        <family val="1"/>
      </rPr>
      <t xml:space="preserve"> E Ft-ban</t>
    </r>
  </si>
  <si>
    <t>Hitel lehívás</t>
  </si>
  <si>
    <t>Tata Város Önkormányzatának és a hozzá tartozó költségvetési szervek 2015. évi összevont mérlege (E Ft-ban)</t>
  </si>
  <si>
    <t>ESZKÖZÖK</t>
  </si>
  <si>
    <t>A/I. Immateriális javak</t>
  </si>
  <si>
    <t>A/II. Tárgyi eszközök</t>
  </si>
  <si>
    <t>A/III. Befektetett pénzügyi eszközök</t>
  </si>
  <si>
    <t>A/IV. Koncesszióba, vagyonkezelésbe adott eszközök</t>
  </si>
  <si>
    <t>A) NEMZETI VAGYONBA TARTOZÓ BEFEKTETETT ESZKÖZÖK</t>
  </si>
  <si>
    <t>B/I. Készletek</t>
  </si>
  <si>
    <t>B/II. Értékpapírok</t>
  </si>
  <si>
    <t>B) NEMZETI VAGYONBA TARTOZÓ FORGÓ ESZKÖZÖK</t>
  </si>
  <si>
    <t>C/II. Pénzárak, csekkek, betétkönyvek</t>
  </si>
  <si>
    <t>C/III.-IV. Forintszámlák és devizaszámlák</t>
  </si>
  <si>
    <t>C) PÉNZESZKÖZÖK</t>
  </si>
  <si>
    <t>D/I. Költségvetési évben esedékes követelések</t>
  </si>
  <si>
    <t>D/II. Költségvetési évet követően esedékes követelések</t>
  </si>
  <si>
    <t>D/III. Követelés jellegű sajátos elszámolások</t>
  </si>
  <si>
    <t>D) KÖVETELÉSEK</t>
  </si>
  <si>
    <t>E) EGYÉB SAJÁTOS ESZKÖZOLDALI ELSZÁMOLÁSOK</t>
  </si>
  <si>
    <t>F) AKTÍV IDŐBELI ELHATÁROLÁSOK</t>
  </si>
  <si>
    <t>ESZKÖZÖK ÖSSZESEN</t>
  </si>
  <si>
    <t>FORRÁSOK</t>
  </si>
  <si>
    <t>G/I.-III. Nemzeti vagyon és egyéb eszközök induláskori értéke és változásai</t>
  </si>
  <si>
    <t>G/IV. Felhalmozott eredmény</t>
  </si>
  <si>
    <t>G/VI. Mérleg szerinti eredmény</t>
  </si>
  <si>
    <t>H/I.Költségvetési évben esedékes kötelezettségek</t>
  </si>
  <si>
    <t>H/II. Költségvetési évet követő évben esedékes kötelezettségek</t>
  </si>
  <si>
    <t>H/III. Kötelezettség jellegű sajátos elszámolások</t>
  </si>
  <si>
    <t>H) KÖTELEZETTSÉGEK</t>
  </si>
  <si>
    <t>I) EGYÉB SAJÁTOS FORRÁSOLDALI ELSZÁMOLÁSOK</t>
  </si>
  <si>
    <t>J) PASSZÍV IDŐBELI ELHATÁROLÁSOK</t>
  </si>
  <si>
    <t>FORRÁSOK ÖSSZESEN</t>
  </si>
  <si>
    <t>Több éves kihatással járó felhalmozási feladatok (E Ft)</t>
  </si>
  <si>
    <t>Tata Város Önkormányzatának jelzáloggal terhelt ingatlanjai</t>
  </si>
  <si>
    <t>Helyrajzi szám</t>
  </si>
  <si>
    <t>Természetben</t>
  </si>
  <si>
    <t>Bejegyző határozat száma</t>
  </si>
  <si>
    <t>Bejegyzés ideje</t>
  </si>
  <si>
    <t>Összeg</t>
  </si>
  <si>
    <t>Jogosult neve</t>
  </si>
  <si>
    <t>Tata, Tanoda tér 5/A, Piarista rendház</t>
  </si>
  <si>
    <t>30333/2</t>
  </si>
  <si>
    <t>650 000 000 Ft és járulékai</t>
  </si>
  <si>
    <t>UniCredit Bank Hungary Zrt.</t>
  </si>
  <si>
    <t>34256/2</t>
  </si>
  <si>
    <t>166 393 666 Ft és járulékai</t>
  </si>
  <si>
    <t>Magyar Takarékszövetkezeti Bank Zrt.</t>
  </si>
  <si>
    <t>1441/10</t>
  </si>
  <si>
    <t>Tata, Váralja utca 4., Magyary Zoltán Művelődési Központ</t>
  </si>
  <si>
    <t>32288/2</t>
  </si>
  <si>
    <t>42 932 406 Ft és járulékai</t>
  </si>
  <si>
    <t>Nemzeti Fejlesztési Ügynökség</t>
  </si>
  <si>
    <t>Intézmények Gazdasági Hivatala*</t>
  </si>
  <si>
    <t>Előző év</t>
  </si>
  <si>
    <t>Tárgyév</t>
  </si>
  <si>
    <t>G) SAJÁT TŐKE</t>
  </si>
  <si>
    <t>* Az Intézmények Gazdasági Hivatalának előző évi adatainak része a Kuny Domokos Múzeum előző évi adata is.</t>
  </si>
  <si>
    <t>900 010</t>
  </si>
  <si>
    <t>Központi költségvetés funkcióra nem sorolható bevétele (talajterhelési díj)</t>
  </si>
  <si>
    <t>900 020</t>
  </si>
  <si>
    <t>Önkormányzatok funkcióra nem sorolható bevétele (adó)</t>
  </si>
  <si>
    <t>018010</t>
  </si>
  <si>
    <t>105020</t>
  </si>
  <si>
    <t>Foglalkoztatást elősegítő képzések és egyéb támogatások</t>
  </si>
  <si>
    <t>Költségvetési alcím megnevezése</t>
  </si>
  <si>
    <t>Feladat jellege</t>
  </si>
  <si>
    <t>Felhalmozási bevétel</t>
  </si>
  <si>
    <t>Saját bevételek</t>
  </si>
  <si>
    <t>Bevételek mindösszesen</t>
  </si>
  <si>
    <t>átvett működési célra</t>
  </si>
  <si>
    <t>támogatás értékű működési célra</t>
  </si>
  <si>
    <t>átvett felhalmozási célra</t>
  </si>
  <si>
    <t>támogatásértékű felhalmozási célra</t>
  </si>
  <si>
    <t>Finanszírozás</t>
  </si>
  <si>
    <t>Dologiból ellátottakra vonatkozó élelmiszer beszerzés és vásárolt élelmezés</t>
  </si>
  <si>
    <t>össz</t>
  </si>
  <si>
    <t>Fürdő utcai Óvoda</t>
  </si>
  <si>
    <t>Geszti Óvoda</t>
  </si>
  <si>
    <t>Tatai Geszti Óvoda Agostyáni Tagintézménye</t>
  </si>
  <si>
    <t>Bartók B. utcai Óvoda</t>
  </si>
  <si>
    <t>Kertvárosi Óvoda</t>
  </si>
  <si>
    <t>Kincseskert Óvoda</t>
  </si>
  <si>
    <t>Szivárvány Tagintézménye</t>
  </si>
  <si>
    <t>Vaszary J. Általános Iskola</t>
  </si>
  <si>
    <t>Vaszary - Logopédiai Intézet</t>
  </si>
  <si>
    <t>Vaszary-Jázmin Tagint.</t>
  </si>
  <si>
    <t>Vaszary összesen</t>
  </si>
  <si>
    <t>Kőkúti Általános Iskola</t>
  </si>
  <si>
    <t>Kőkúti Általános Iskola - Fazekas U. Tagintézmény</t>
  </si>
  <si>
    <t>Kőkúti összesen</t>
  </si>
  <si>
    <t>Zeneiskola</t>
  </si>
  <si>
    <t>Diákotthon</t>
  </si>
  <si>
    <t>Bláthy</t>
  </si>
  <si>
    <t>Önként vállalt feladat</t>
  </si>
  <si>
    <t>Iskolák és IGH összesen</t>
  </si>
  <si>
    <t>Könyvtár</t>
  </si>
  <si>
    <t>Egészségügyi Alapellátó Intézmény</t>
  </si>
  <si>
    <t>Kvi. alcímek és szakf. Összesen:</t>
  </si>
  <si>
    <t>IGH feladatkörébe tartozó kötelező feladatok</t>
  </si>
  <si>
    <t>IGH feladatkörébe tartozó önként vállalt  feladatok</t>
  </si>
  <si>
    <t xml:space="preserve"> - bírság</t>
  </si>
  <si>
    <t>Adóelengedés (méltányossági kérelem alapján) összesen</t>
  </si>
  <si>
    <t>Részletfizetési kedvezmény</t>
  </si>
  <si>
    <t xml:space="preserve">Fizetési halasztás  </t>
  </si>
  <si>
    <t>Gépjárműadó</t>
  </si>
  <si>
    <t>Telekadó</t>
  </si>
  <si>
    <t>EU-s projekt neve</t>
  </si>
  <si>
    <t>Azonosítója</t>
  </si>
  <si>
    <t>Támogatási szerződés kötés időpontja</t>
  </si>
  <si>
    <t>Megvalósítás ideje</t>
  </si>
  <si>
    <t>Források</t>
  </si>
  <si>
    <t>Kiadások 2015. évi teljesítése</t>
  </si>
  <si>
    <t>Saját erő, az el nem számolható költségekkel együtt</t>
  </si>
  <si>
    <t>Saját erő 2015. évi teljesítése</t>
  </si>
  <si>
    <t>NFM EU Önerő-támogatás</t>
  </si>
  <si>
    <t>NFM EU Önerő-támogatás 2015. évi teljesítése</t>
  </si>
  <si>
    <t>EU-s forrás a támogatási szerződés szerint</t>
  </si>
  <si>
    <t>EU-s forrás a támogatási szerződés szerint 2015. évi teljesítése</t>
  </si>
  <si>
    <t xml:space="preserve">Tatai Angolpark rehabilitációja </t>
  </si>
  <si>
    <t>KDOP -2.1.1/B-2f-2009-0002</t>
  </si>
  <si>
    <t>Öreg-tavi Ökoturisztikai Központ kialakítása a csatlakozó kerékpárutak felújításával Tatán és a tematikus aktív turisztikai fejlesztések a kistérségben</t>
  </si>
  <si>
    <t>KDOP–2.1.1/B–09-2010-0002</t>
  </si>
  <si>
    <t>Ökoturisztikai tanösvény kialakítása a tatai Fényes-Fürdő területén</t>
  </si>
  <si>
    <t>KDOP-2.1.1/B-12-2012-0046</t>
  </si>
  <si>
    <t>Tata, Kossuth tér városközpont értékmegőrző rehabilitációja</t>
  </si>
  <si>
    <t>KDOP–3.1.1/A–09-2f-2011-0001</t>
  </si>
  <si>
    <t>A tatai Réti 8-as számú tó vízi élőhellyé történő rehabilitációja</t>
  </si>
  <si>
    <t>KEOP – 3.1.2/2F/09-11-2013-0014</t>
  </si>
  <si>
    <t>Tatabánya-Vértesszőlős-Tata településeket összekötő közlekedési célú kerékpárút építése az Általér mentén</t>
  </si>
  <si>
    <t>KÖZOP–3.2.0/c-08-2010-0003</t>
  </si>
  <si>
    <t>A munka és a magánélet összehangolását segítő helyi kezdeményezések megvalósítása Tata városában</t>
  </si>
  <si>
    <t>TÁMOP-2.4.5-12/3-2012-0028</t>
  </si>
  <si>
    <t>Intermodális közösségi közlekedési központ létrehozása Tatán</t>
  </si>
  <si>
    <t>KÖZOP–5.5.0-09-11-2011-0010</t>
  </si>
  <si>
    <t>Tata, közvilágítás hálózat korszerűsítése</t>
  </si>
  <si>
    <t>KEOP– 5.5.0/A-12-2013-0229</t>
  </si>
  <si>
    <t>Tata Város Önkormányzatának szervezetfejlesztése</t>
  </si>
  <si>
    <t>ÁROP – 1.A.5-2013-2013-0003</t>
  </si>
  <si>
    <t xml:space="preserve">Közigazgatási partnerség építése Tatán </t>
  </si>
  <si>
    <t>ÁROP – 1.A.6-2013-2013-0007</t>
  </si>
  <si>
    <t xml:space="preserve">A tatai Angolkert természeti és kulturális örökségének helyreállítása </t>
  </si>
  <si>
    <t>KEOP – 3.1.2/2F/09-11-2013-0043</t>
  </si>
  <si>
    <t>A munka és a magánélet összehangolása a Közös Önkormányzati Hivatalban</t>
  </si>
  <si>
    <t>TÁMOP-2.4.5-12/7-2012-0705</t>
  </si>
  <si>
    <t>Napelemes rendszer kiépítése a Kőkúti Általános Iskolában</t>
  </si>
  <si>
    <t>KEOP-4.10.0/N/14-2014-0382</t>
  </si>
  <si>
    <t>Területi együttműködést segítő programok kialakítása a tatai járásban</t>
  </si>
  <si>
    <t>ÁROP-1.A.3-2014-2014-0113</t>
  </si>
  <si>
    <t>„LACUS FELIX” A Kuny Domokos Múzeum múzeumpedagógiai programjának megvalósítására</t>
  </si>
  <si>
    <t>TÁMOP – 3.2.13-12/1-2013-0070</t>
  </si>
  <si>
    <t>Támogatói Okirat kísérőlevél dátuma: 2014.08.19.</t>
  </si>
  <si>
    <t>Befogadó élettér Tatán</t>
  </si>
  <si>
    <t>TÁMOP-3.4.2.A/11-2-2012-0004</t>
  </si>
  <si>
    <t>Intézmények Gazdasági Hivatalához tartozó  önállóan működő intézmények 2015. évi költségvetése</t>
  </si>
  <si>
    <t>Kamat bevétel</t>
  </si>
  <si>
    <t>pénzmar. átvét</t>
  </si>
  <si>
    <t>Pénzmaradvány átadás</t>
  </si>
  <si>
    <t>V. hó mód.</t>
  </si>
  <si>
    <t>V. hó</t>
  </si>
  <si>
    <t>IX. hó</t>
  </si>
  <si>
    <t>XII.hó</t>
  </si>
  <si>
    <t>II.hó</t>
  </si>
  <si>
    <t>Bölcsőde</t>
  </si>
  <si>
    <t>mindösszesen</t>
  </si>
  <si>
    <t>Az Önkormányzat tulajdonában álló üzletrészek, részesedések alakulása, valamint az önkormányzat tulajdonában álló gazdálkodó szervezetek működéséből származó kötelezettségek alakulása 2015-ben</t>
  </si>
  <si>
    <t>A) Részesedések (E Ft-ban)</t>
  </si>
  <si>
    <t>Cég neve</t>
  </si>
  <si>
    <t xml:space="preserve">Névérték 
2015.12.31-én </t>
  </si>
  <si>
    <t>Névérték
2014.12.31-én</t>
  </si>
  <si>
    <t>Értékelés után könyvszerinti érték 
2015.12.31-én</t>
  </si>
  <si>
    <t>Értékelés után könyvszerinti érték 
2014.12.31-én</t>
  </si>
  <si>
    <t>Részesedések aránya %-ban</t>
  </si>
  <si>
    <t>Bábolna Zrt. "felszámolás alatt"</t>
  </si>
  <si>
    <t>Közép-Duna Vidéke Hulladékgazdálkodási Vagyonkezelő és Közszolgáltató Zrt.</t>
  </si>
  <si>
    <t>Tatai Fényes Fürdő Kft.</t>
  </si>
  <si>
    <t>Tatai Távhőszolgáltató Kft.</t>
  </si>
  <si>
    <t>Tatai Városgazda Nonprofit Kft.</t>
  </si>
  <si>
    <t>Tatai Városkapu  Közhasznú  Zrt.</t>
  </si>
  <si>
    <t>B) Helyi önkormányzat tulajdonában álló gazdálkodó szervezetek működéséből származó kötelezettségek alakulása (E Ft-ban)</t>
  </si>
  <si>
    <t>(2015. évi előzetes zárási adatok alapján)</t>
  </si>
  <si>
    <t>Bábolna Mezőgazdasági Termelő, Fejlesztő és Kereskedelmi Zrt.</t>
  </si>
  <si>
    <t>Tatai Városkapu Zrt.</t>
  </si>
  <si>
    <t>Hosszú lejáratú kötelezettségek állománya 2015.12.31-én</t>
  </si>
  <si>
    <t>Hosszú lejáratú kötelezettségek állományából Tata Város Önkormányzatával szemben fennálló kölcsön tartozás 2015.12.31-én</t>
  </si>
  <si>
    <t>Hosszú lejáratú kötelezettségek állományából Tata Város Önkormányzatával szemben fennálló egyéb tartozás 2015.12.31-én</t>
  </si>
  <si>
    <t>Rövid lejáratú kötelezettségek állománya 2015.12.31-én</t>
  </si>
  <si>
    <t>Rövid lejáratú kötelezettségek állományából szállítói tartozás 2015.12.31-én</t>
  </si>
  <si>
    <t>Rövid lejáratú kötelezettségek állományából Tata Város Önkormányzatával szemben fennálló szállítói tartozás 2015.12.31-én</t>
  </si>
  <si>
    <t>Rövid lejáratú kötelezettségek állományából Tata Város Önkormányzatával szemben fennálló egyéb tartozás 
2015.12.31-én</t>
  </si>
  <si>
    <t>77 846*</t>
  </si>
  <si>
    <t>* Tata Város Önkormányzatának nyilvántartásában 98.860 E Ft szerepel</t>
  </si>
  <si>
    <t>C) Tata Város Önkormányzat nyilvántartásában szereplő gazdálkodó szervezetekkel szemben fennálló kötelezettségek és követelések alakulása (E Ft-ban)</t>
  </si>
  <si>
    <t>Kölcsöntartozások alakulása (E Ft-ban)</t>
  </si>
  <si>
    <t>Kölcsönfelvétel</t>
  </si>
  <si>
    <t>Éve</t>
  </si>
  <si>
    <t>Összege</t>
  </si>
  <si>
    <t>*</t>
  </si>
  <si>
    <t>**</t>
  </si>
  <si>
    <t>Tatai Fényes Fürdő Kft. összesen</t>
  </si>
  <si>
    <t>* a kölcsön összegét (15.000 E Ft-ot) 2015.december 8-án visszafizette</t>
  </si>
  <si>
    <t>**visszafizetési határidő: a 2006.évi IV.törvény 120.§ (4) bekezdése alapján akkor teljesíti, ha nyeresége keletkezik</t>
  </si>
  <si>
    <t>Intézmények Gazdasági Hivatalához tartozó önállóan működő intézmények 2015. évi költségvetése (E Ft)</t>
  </si>
  <si>
    <t>2014. évi pénzmaradvány igénybevétele működési- és felhalmozási cél szerinti tagolásban (E Ft-ban)</t>
  </si>
  <si>
    <t>Tata Város Önkormányzatának Európai uniós támogatással megvalósuló projektjeinek tervezett bevételei, kiadásai a beadott kérelmek alapján (E Ft-ban)</t>
  </si>
  <si>
    <t>Áru és készletértékesítés, Szolgáltatások és közvetített szolgáltatások bevétele</t>
  </si>
  <si>
    <t xml:space="preserve">Kölcsön összege </t>
  </si>
  <si>
    <t xml:space="preserve">Kamat összege </t>
  </si>
  <si>
    <t xml:space="preserve">Tartozás összesen 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</si>
</sst>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#,##0;\-#,##0"/>
    <numFmt numFmtId="184" formatCode="dddd&quot;, &quot;mmmm\ dd&quot;, &quot;yyyy"/>
    <numFmt numFmtId="185" formatCode="_-* #,##0.00\ _F_t_-;\-* #,##0.00\ _F_t_-;_-* \-??\ _F_t_-;_-@_-"/>
    <numFmt numFmtId="186" formatCode="&quot;H-&quot;0000"/>
    <numFmt numFmtId="187" formatCode="#,##0.00\ [$EUR]"/>
    <numFmt numFmtId="188" formatCode="_-* #,##0.0\ _F_t_-;\-* #,##0.0\ _F_t_-;_-* &quot;-&quot;??\ _F_t_-;_-@_-"/>
    <numFmt numFmtId="189" formatCode="_-* #,##0.000\ _F_t_-;\-* #,##0.000\ _F_t_-;_-* &quot;-&quot;??\ _F_t_-;_-@_-"/>
    <numFmt numFmtId="190" formatCode="_-* #,##0\ _F_t_-;\-* #,##0\ _F_t_-;_-* &quot;-&quot;??\ _F_t_-;_-@_-"/>
    <numFmt numFmtId="191" formatCode="#,##0_ ;[Red]\-#,##0\ "/>
    <numFmt numFmtId="192" formatCode="0.0000"/>
    <numFmt numFmtId="193" formatCode="0.00000"/>
    <numFmt numFmtId="194" formatCode="0.0000000"/>
    <numFmt numFmtId="195" formatCode="0.000000"/>
    <numFmt numFmtId="196" formatCode="0.00000000"/>
    <numFmt numFmtId="197" formatCode="0.000000000"/>
    <numFmt numFmtId="198" formatCode="#,##0&quot; Ft&quot;"/>
    <numFmt numFmtId="199" formatCode="yyyy\-mm\-dd"/>
    <numFmt numFmtId="200" formatCode="yyyy/\ mmmm\ d\."/>
    <numFmt numFmtId="201" formatCode="yyyy/\ mmm/\ d\."/>
    <numFmt numFmtId="202" formatCode="yy/\ mmmm\ d\."/>
    <numFmt numFmtId="203" formatCode="#,##0.0000,"/>
    <numFmt numFmtId="204" formatCode="#,##0.00000,"/>
    <numFmt numFmtId="205" formatCode="[$-40E]General"/>
    <numFmt numFmtId="206" formatCode="[$¥€-2]\ #\ ##,000_);[Red]\([$€-2]\ #\ ##,000\)"/>
    <numFmt numFmtId="207" formatCode="[$-40E]#,##0"/>
    <numFmt numFmtId="208" formatCode="#,##0.00&quot; &quot;[$Ft-40E];[Red]&quot;-&quot;#,##0.00&quot; &quot;[$Ft-40E]"/>
  </numFmts>
  <fonts count="11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Arial CE"/>
      <family val="0"/>
    </font>
    <font>
      <b/>
      <i/>
      <sz val="10"/>
      <name val="Times New Roman CE"/>
      <family val="1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0"/>
      <name val="MS Sans Serif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i/>
      <sz val="11"/>
      <name val="Times New Roman"/>
      <family val="1"/>
    </font>
    <font>
      <b/>
      <u val="single"/>
      <sz val="11"/>
      <name val="Times New Roman CE"/>
      <family val="1"/>
    </font>
    <font>
      <i/>
      <sz val="10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  <font>
      <b/>
      <sz val="8"/>
      <name val="Times New Roman"/>
      <family val="1"/>
    </font>
    <font>
      <sz val="9"/>
      <name val="Times New Roman CE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1"/>
      <name val="Times New Roman"/>
      <family val="1"/>
    </font>
    <font>
      <b/>
      <sz val="8"/>
      <name val="Arial"/>
      <family val="2"/>
    </font>
    <font>
      <b/>
      <sz val="9"/>
      <name val="Times New Roman CE"/>
      <family val="0"/>
    </font>
    <font>
      <b/>
      <u val="single"/>
      <sz val="10"/>
      <name val="Times New Roman CE"/>
      <family val="0"/>
    </font>
    <font>
      <b/>
      <i/>
      <u val="single"/>
      <sz val="10"/>
      <name val="Times New Roman"/>
      <family val="1"/>
    </font>
    <font>
      <b/>
      <sz val="12"/>
      <name val="Arial CE"/>
      <family val="2"/>
    </font>
    <font>
      <b/>
      <sz val="16"/>
      <color indexed="10"/>
      <name val="Times New Roman CE"/>
      <family val="1"/>
    </font>
    <font>
      <b/>
      <i/>
      <sz val="12"/>
      <name val="Times New Roman CE"/>
      <family val="1"/>
    </font>
    <font>
      <b/>
      <sz val="12"/>
      <color indexed="63"/>
      <name val="Times New Roman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sz val="14"/>
      <name val="Arial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E"/>
      <family val="2"/>
    </font>
    <font>
      <vertAlign val="superscript"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8"/>
      <name val="Times New Roman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 CE"/>
      <family val="0"/>
    </font>
    <font>
      <i/>
      <sz val="16"/>
      <name val="Times New Roman"/>
      <family val="1"/>
    </font>
    <font>
      <b/>
      <sz val="16"/>
      <color indexed="8"/>
      <name val="Calibri"/>
      <family val="2"/>
    </font>
    <font>
      <sz val="16"/>
      <name val="Arial CE"/>
      <family val="0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 CE"/>
      <family val="0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Arial"/>
      <family val="2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6"/>
      <color rgb="FF000000"/>
      <name val="Times New Roman"/>
      <family val="1"/>
    </font>
    <font>
      <sz val="16"/>
      <color rgb="FF000000"/>
      <name val="Calibri"/>
      <family val="2"/>
    </font>
    <font>
      <sz val="16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6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03" fillId="26" borderId="0" applyNumberFormat="0" applyBorder="0" applyAlignment="0" applyProtection="0"/>
    <xf numFmtId="0" fontId="10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5" fillId="40" borderId="1" applyNumberFormat="0" applyAlignment="0" applyProtection="0"/>
    <xf numFmtId="0" fontId="6" fillId="4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42" borderId="2" applyNumberFormat="0" applyAlignment="0" applyProtection="0"/>
    <xf numFmtId="0" fontId="104" fillId="0" borderId="0" applyNumberFormat="0" applyBorder="0" applyProtection="0">
      <alignment/>
    </xf>
    <xf numFmtId="205" fontId="105" fillId="0" borderId="0" applyBorder="0" applyProtection="0">
      <alignment/>
    </xf>
    <xf numFmtId="205" fontId="105" fillId="0" borderId="0">
      <alignment/>
      <protection/>
    </xf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15" borderId="1" applyNumberFormat="0" applyAlignment="0" applyProtection="0"/>
    <xf numFmtId="0" fontId="0" fillId="43" borderId="10" applyNumberFormat="0" applyFont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13" fillId="6" borderId="0" applyNumberFormat="0" applyBorder="0" applyAlignment="0" applyProtection="0"/>
    <xf numFmtId="0" fontId="16" fillId="48" borderId="11" applyNumberFormat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05" fillId="0" borderId="0">
      <alignment/>
      <protection/>
    </xf>
    <xf numFmtId="0" fontId="18" fillId="4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0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50" borderId="10" applyNumberFormat="0" applyAlignment="0" applyProtection="0"/>
    <xf numFmtId="0" fontId="16" fillId="40" borderId="11" applyNumberFormat="0" applyAlignment="0" applyProtection="0"/>
    <xf numFmtId="0" fontId="1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8" fillId="51" borderId="0" applyNumberFormat="0" applyBorder="0" applyAlignment="0" applyProtection="0"/>
    <xf numFmtId="0" fontId="5" fillId="48" borderId="1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2" fillId="0" borderId="0" applyNumberFormat="0" applyFill="0" applyBorder="0" applyAlignment="0" applyProtection="0"/>
  </cellStyleXfs>
  <cellXfs count="138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3" fontId="22" fillId="0" borderId="16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vertical="top" wrapText="1"/>
    </xf>
    <xf numFmtId="3" fontId="22" fillId="0" borderId="16" xfId="0" applyNumberFormat="1" applyFont="1" applyBorder="1" applyAlignment="1">
      <alignment horizontal="right"/>
    </xf>
    <xf numFmtId="0" fontId="20" fillId="0" borderId="15" xfId="0" applyFont="1" applyBorder="1" applyAlignment="1">
      <alignment vertical="top" wrapText="1"/>
    </xf>
    <xf numFmtId="3" fontId="20" fillId="0" borderId="16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15" xfId="0" applyFont="1" applyBorder="1" applyAlignment="1">
      <alignment vertical="top" wrapText="1"/>
    </xf>
    <xf numFmtId="3" fontId="24" fillId="0" borderId="16" xfId="0" applyNumberFormat="1" applyFont="1" applyBorder="1" applyAlignment="1">
      <alignment horizontal="right"/>
    </xf>
    <xf numFmtId="0" fontId="20" fillId="0" borderId="17" xfId="0" applyFont="1" applyBorder="1" applyAlignment="1">
      <alignment vertical="top" wrapText="1"/>
    </xf>
    <xf numFmtId="3" fontId="20" fillId="0" borderId="18" xfId="0" applyNumberFormat="1" applyFont="1" applyBorder="1" applyAlignment="1">
      <alignment horizontal="right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108">
      <alignment/>
      <protection/>
    </xf>
    <xf numFmtId="3" fontId="25" fillId="0" borderId="0" xfId="108" applyNumberFormat="1">
      <alignment/>
      <protection/>
    </xf>
    <xf numFmtId="0" fontId="27" fillId="0" borderId="0" xfId="108" applyFont="1">
      <alignment/>
      <protection/>
    </xf>
    <xf numFmtId="0" fontId="28" fillId="0" borderId="15" xfId="108" applyFont="1" applyBorder="1" applyAlignment="1">
      <alignment wrapText="1"/>
      <protection/>
    </xf>
    <xf numFmtId="0" fontId="25" fillId="0" borderId="0" xfId="108" applyFont="1">
      <alignment/>
      <protection/>
    </xf>
    <xf numFmtId="0" fontId="28" fillId="0" borderId="0" xfId="108" applyFont="1" applyBorder="1">
      <alignment/>
      <protection/>
    </xf>
    <xf numFmtId="0" fontId="27" fillId="0" borderId="0" xfId="108" applyFont="1">
      <alignment/>
      <protection/>
    </xf>
    <xf numFmtId="0" fontId="30" fillId="0" borderId="15" xfId="108" applyFont="1" applyBorder="1" applyAlignment="1">
      <alignment wrapText="1"/>
      <protection/>
    </xf>
    <xf numFmtId="3" fontId="25" fillId="0" borderId="0" xfId="108" applyNumberFormat="1" applyBorder="1">
      <alignment/>
      <protection/>
    </xf>
    <xf numFmtId="0" fontId="25" fillId="0" borderId="0" xfId="108" applyAlignment="1">
      <alignment wrapText="1"/>
      <protection/>
    </xf>
    <xf numFmtId="0" fontId="30" fillId="0" borderId="13" xfId="108" applyFont="1" applyBorder="1" applyAlignment="1">
      <alignment wrapText="1"/>
      <protection/>
    </xf>
    <xf numFmtId="3" fontId="25" fillId="0" borderId="0" xfId="108" applyNumberFormat="1" applyAlignment="1">
      <alignment horizontal="left" wrapText="1"/>
      <protection/>
    </xf>
    <xf numFmtId="0" fontId="30" fillId="0" borderId="0" xfId="108" applyFont="1" applyBorder="1" applyAlignment="1">
      <alignment wrapText="1"/>
      <protection/>
    </xf>
    <xf numFmtId="0" fontId="34" fillId="0" borderId="15" xfId="108" applyFont="1" applyBorder="1" applyAlignment="1">
      <alignment wrapText="1"/>
      <protection/>
    </xf>
    <xf numFmtId="0" fontId="33" fillId="0" borderId="0" xfId="108" applyFont="1">
      <alignment/>
      <protection/>
    </xf>
    <xf numFmtId="0" fontId="29" fillId="0" borderId="15" xfId="108" applyFont="1" applyBorder="1" applyAlignment="1">
      <alignment wrapText="1"/>
      <protection/>
    </xf>
    <xf numFmtId="0" fontId="26" fillId="0" borderId="0" xfId="108" applyFont="1">
      <alignment/>
      <protection/>
    </xf>
    <xf numFmtId="0" fontId="21" fillId="0" borderId="15" xfId="0" applyFont="1" applyBorder="1" applyAlignment="1">
      <alignment/>
    </xf>
    <xf numFmtId="0" fontId="20" fillId="0" borderId="0" xfId="112" applyFont="1">
      <alignment/>
      <protection/>
    </xf>
    <xf numFmtId="0" fontId="39" fillId="0" borderId="0" xfId="112" applyFont="1">
      <alignment/>
      <protection/>
    </xf>
    <xf numFmtId="0" fontId="22" fillId="0" borderId="0" xfId="112" applyFont="1">
      <alignment/>
      <protection/>
    </xf>
    <xf numFmtId="0" fontId="22" fillId="0" borderId="0" xfId="112" applyFont="1" applyBorder="1">
      <alignment/>
      <protection/>
    </xf>
    <xf numFmtId="0" fontId="39" fillId="0" borderId="0" xfId="118" applyFont="1">
      <alignment/>
      <protection/>
    </xf>
    <xf numFmtId="0" fontId="39" fillId="0" borderId="0" xfId="112" applyFont="1" applyBorder="1">
      <alignment/>
      <protection/>
    </xf>
    <xf numFmtId="3" fontId="38" fillId="0" borderId="0" xfId="112" applyNumberFormat="1" applyFont="1" applyBorder="1">
      <alignment/>
      <protection/>
    </xf>
    <xf numFmtId="3" fontId="42" fillId="0" borderId="0" xfId="112" applyNumberFormat="1" applyFont="1" applyAlignment="1">
      <alignment/>
      <protection/>
    </xf>
    <xf numFmtId="3" fontId="42" fillId="0" borderId="0" xfId="112" applyNumberFormat="1" applyFont="1">
      <alignment/>
      <protection/>
    </xf>
    <xf numFmtId="0" fontId="28" fillId="0" borderId="0" xfId="107" applyFont="1">
      <alignment/>
      <protection/>
    </xf>
    <xf numFmtId="3" fontId="22" fillId="0" borderId="0" xfId="0" applyNumberFormat="1" applyFont="1" applyAlignment="1">
      <alignment/>
    </xf>
    <xf numFmtId="0" fontId="28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8" fillId="0" borderId="15" xfId="0" applyFont="1" applyBorder="1" applyAlignment="1">
      <alignment horizontal="justify" vertical="top" wrapText="1"/>
    </xf>
    <xf numFmtId="0" fontId="47" fillId="0" borderId="0" xfId="0" applyFont="1" applyAlignment="1">
      <alignment horizontal="justify"/>
    </xf>
    <xf numFmtId="165" fontId="28" fillId="0" borderId="0" xfId="0" applyNumberFormat="1" applyFont="1" applyAlignment="1">
      <alignment/>
    </xf>
    <xf numFmtId="0" fontId="31" fillId="0" borderId="0" xfId="0" applyFont="1" applyAlignment="1">
      <alignment horizontal="justify"/>
    </xf>
    <xf numFmtId="0" fontId="30" fillId="0" borderId="0" xfId="0" applyFont="1" applyAlignment="1">
      <alignment/>
    </xf>
    <xf numFmtId="0" fontId="26" fillId="0" borderId="0" xfId="108" applyFont="1" applyBorder="1">
      <alignment/>
      <protection/>
    </xf>
    <xf numFmtId="0" fontId="30" fillId="0" borderId="17" xfId="108" applyFont="1" applyBorder="1" applyAlignment="1">
      <alignment wrapText="1"/>
      <protection/>
    </xf>
    <xf numFmtId="0" fontId="49" fillId="0" borderId="0" xfId="111" applyFont="1" applyFill="1" applyBorder="1" applyAlignment="1">
      <alignment horizontal="center" vertical="center"/>
      <protection/>
    </xf>
    <xf numFmtId="0" fontId="28" fillId="0" borderId="0" xfId="111" applyFont="1" applyFill="1">
      <alignment/>
      <protection/>
    </xf>
    <xf numFmtId="0" fontId="28" fillId="0" borderId="0" xfId="111" applyFont="1" applyFill="1" applyBorder="1">
      <alignment/>
      <protection/>
    </xf>
    <xf numFmtId="0" fontId="50" fillId="0" borderId="0" xfId="113" applyFont="1" applyFill="1" applyBorder="1" applyAlignment="1">
      <alignment horizontal="center" vertical="center"/>
      <protection/>
    </xf>
    <xf numFmtId="3" fontId="28" fillId="0" borderId="0" xfId="111" applyNumberFormat="1" applyFont="1" applyFill="1">
      <alignment/>
      <protection/>
    </xf>
    <xf numFmtId="0" fontId="22" fillId="0" borderId="18" xfId="0" applyFont="1" applyBorder="1" applyAlignment="1">
      <alignment/>
    </xf>
    <xf numFmtId="0" fontId="39" fillId="0" borderId="0" xfId="112" applyFont="1" applyAlignment="1">
      <alignment wrapText="1"/>
      <protection/>
    </xf>
    <xf numFmtId="0" fontId="39" fillId="0" borderId="0" xfId="118" applyFont="1" applyAlignment="1">
      <alignment wrapText="1"/>
      <protection/>
    </xf>
    <xf numFmtId="0" fontId="38" fillId="0" borderId="0" xfId="112" applyFont="1" applyAlignment="1">
      <alignment horizontal="center" wrapText="1"/>
      <protection/>
    </xf>
    <xf numFmtId="0" fontId="38" fillId="0" borderId="0" xfId="112" applyFont="1" applyBorder="1" applyAlignment="1">
      <alignment wrapText="1"/>
      <protection/>
    </xf>
    <xf numFmtId="0" fontId="42" fillId="0" borderId="0" xfId="112" applyFont="1" applyAlignment="1">
      <alignment wrapText="1"/>
      <protection/>
    </xf>
    <xf numFmtId="0" fontId="46" fillId="0" borderId="0" xfId="116" applyFont="1">
      <alignment/>
      <protection/>
    </xf>
    <xf numFmtId="0" fontId="55" fillId="0" borderId="0" xfId="116" applyFont="1">
      <alignment/>
      <protection/>
    </xf>
    <xf numFmtId="0" fontId="45" fillId="0" borderId="0" xfId="116" applyFont="1">
      <alignment/>
      <protection/>
    </xf>
    <xf numFmtId="3" fontId="46" fillId="0" borderId="0" xfId="116" applyNumberFormat="1" applyFont="1">
      <alignment/>
      <protection/>
    </xf>
    <xf numFmtId="0" fontId="29" fillId="0" borderId="0" xfId="108" applyFont="1" applyBorder="1" applyAlignment="1">
      <alignment wrapText="1"/>
      <protection/>
    </xf>
    <xf numFmtId="3" fontId="30" fillId="0" borderId="0" xfId="108" applyNumberFormat="1" applyFont="1" applyBorder="1">
      <alignment/>
      <protection/>
    </xf>
    <xf numFmtId="3" fontId="46" fillId="0" borderId="0" xfId="116" applyNumberFormat="1" applyFont="1" applyBorder="1">
      <alignment/>
      <protection/>
    </xf>
    <xf numFmtId="0" fontId="48" fillId="0" borderId="0" xfId="116" applyFont="1">
      <alignment/>
      <protection/>
    </xf>
    <xf numFmtId="3" fontId="46" fillId="0" borderId="16" xfId="115" applyNumberFormat="1" applyFont="1" applyBorder="1" applyAlignment="1">
      <alignment vertical="center"/>
      <protection/>
    </xf>
    <xf numFmtId="3" fontId="48" fillId="0" borderId="16" xfId="115" applyNumberFormat="1" applyFont="1" applyBorder="1" applyAlignment="1">
      <alignment vertical="center"/>
      <protection/>
    </xf>
    <xf numFmtId="3" fontId="45" fillId="0" borderId="18" xfId="115" applyNumberFormat="1" applyFont="1" applyBorder="1" applyAlignment="1">
      <alignment vertical="center"/>
      <protection/>
    </xf>
    <xf numFmtId="3" fontId="45" fillId="0" borderId="19" xfId="115" applyNumberFormat="1" applyFont="1" applyBorder="1" applyAlignment="1">
      <alignment vertical="center"/>
      <protection/>
    </xf>
    <xf numFmtId="49" fontId="25" fillId="0" borderId="0" xfId="108" applyNumberFormat="1">
      <alignment/>
      <protection/>
    </xf>
    <xf numFmtId="49" fontId="27" fillId="0" borderId="0" xfId="108" applyNumberFormat="1" applyFont="1">
      <alignment/>
      <protection/>
    </xf>
    <xf numFmtId="49" fontId="25" fillId="0" borderId="0" xfId="108" applyNumberFormat="1" applyFont="1">
      <alignment/>
      <protection/>
    </xf>
    <xf numFmtId="49" fontId="33" fillId="0" borderId="0" xfId="108" applyNumberFormat="1" applyFont="1">
      <alignment/>
      <protection/>
    </xf>
    <xf numFmtId="49" fontId="26" fillId="0" borderId="0" xfId="108" applyNumberFormat="1" applyFont="1">
      <alignment/>
      <protection/>
    </xf>
    <xf numFmtId="49" fontId="27" fillId="0" borderId="0" xfId="108" applyNumberFormat="1" applyFont="1">
      <alignment/>
      <protection/>
    </xf>
    <xf numFmtId="49" fontId="25" fillId="0" borderId="0" xfId="108" applyNumberFormat="1" applyFont="1">
      <alignment/>
      <protection/>
    </xf>
    <xf numFmtId="0" fontId="43" fillId="0" borderId="0" xfId="0" applyFont="1" applyAlignment="1">
      <alignment/>
    </xf>
    <xf numFmtId="0" fontId="28" fillId="0" borderId="0" xfId="0" applyFont="1" applyAlignment="1">
      <alignment/>
    </xf>
    <xf numFmtId="49" fontId="26" fillId="0" borderId="0" xfId="108" applyNumberFormat="1" applyFont="1">
      <alignment/>
      <protection/>
    </xf>
    <xf numFmtId="49" fontId="26" fillId="0" borderId="0" xfId="108" applyNumberFormat="1" applyFont="1" applyBorder="1">
      <alignment/>
      <protection/>
    </xf>
    <xf numFmtId="0" fontId="30" fillId="0" borderId="0" xfId="108" applyFont="1" applyBorder="1" applyAlignment="1">
      <alignment wrapText="1"/>
      <protection/>
    </xf>
    <xf numFmtId="3" fontId="30" fillId="0" borderId="0" xfId="108" applyNumberFormat="1" applyFont="1" applyBorder="1">
      <alignment/>
      <protection/>
    </xf>
    <xf numFmtId="0" fontId="25" fillId="0" borderId="0" xfId="108" applyAlignment="1">
      <alignment horizontal="left" wrapText="1"/>
      <protection/>
    </xf>
    <xf numFmtId="0" fontId="31" fillId="0" borderId="15" xfId="0" applyFont="1" applyBorder="1" applyAlignment="1">
      <alignment/>
    </xf>
    <xf numFmtId="0" fontId="28" fillId="0" borderId="15" xfId="108" applyFont="1" applyFill="1" applyBorder="1" applyAlignment="1">
      <alignment wrapText="1"/>
      <protection/>
    </xf>
    <xf numFmtId="3" fontId="39" fillId="0" borderId="0" xfId="112" applyNumberFormat="1" applyFont="1" applyAlignment="1">
      <alignment wrapText="1"/>
      <protection/>
    </xf>
    <xf numFmtId="0" fontId="38" fillId="0" borderId="0" xfId="112" applyFont="1" applyAlignment="1">
      <alignment wrapText="1"/>
      <protection/>
    </xf>
    <xf numFmtId="3" fontId="38" fillId="0" borderId="0" xfId="112" applyNumberFormat="1" applyFont="1">
      <alignment/>
      <protection/>
    </xf>
    <xf numFmtId="0" fontId="45" fillId="0" borderId="0" xfId="115" applyFont="1" applyBorder="1" applyAlignment="1">
      <alignment vertical="center"/>
      <protection/>
    </xf>
    <xf numFmtId="3" fontId="45" fillId="0" borderId="0" xfId="115" applyNumberFormat="1" applyFont="1" applyBorder="1" applyAlignment="1">
      <alignment vertical="center"/>
      <protection/>
    </xf>
    <xf numFmtId="3" fontId="45" fillId="0" borderId="16" xfId="115" applyNumberFormat="1" applyFont="1" applyBorder="1" applyAlignment="1">
      <alignment vertical="center"/>
      <protection/>
    </xf>
    <xf numFmtId="3" fontId="45" fillId="0" borderId="20" xfId="115" applyNumberFormat="1" applyFont="1" applyBorder="1" applyAlignment="1">
      <alignment vertical="center"/>
      <protection/>
    </xf>
    <xf numFmtId="3" fontId="48" fillId="0" borderId="20" xfId="115" applyNumberFormat="1" applyFont="1" applyBorder="1" applyAlignment="1">
      <alignment vertical="center"/>
      <protection/>
    </xf>
    <xf numFmtId="3" fontId="48" fillId="0" borderId="16" xfId="116" applyNumberFormat="1" applyFont="1" applyBorder="1">
      <alignment/>
      <protection/>
    </xf>
    <xf numFmtId="3" fontId="46" fillId="0" borderId="16" xfId="116" applyNumberFormat="1" applyFont="1" applyBorder="1">
      <alignment/>
      <protection/>
    </xf>
    <xf numFmtId="3" fontId="45" fillId="0" borderId="21" xfId="115" applyNumberFormat="1" applyFont="1" applyBorder="1" applyAlignment="1">
      <alignment vertical="center"/>
      <protection/>
    </xf>
    <xf numFmtId="3" fontId="45" fillId="0" borderId="22" xfId="115" applyNumberFormat="1" applyFont="1" applyBorder="1" applyAlignment="1">
      <alignment vertical="center"/>
      <protection/>
    </xf>
    <xf numFmtId="0" fontId="28" fillId="0" borderId="0" xfId="109" applyFont="1">
      <alignment/>
      <protection/>
    </xf>
    <xf numFmtId="0" fontId="29" fillId="0" borderId="0" xfId="109" applyFont="1">
      <alignment/>
      <protection/>
    </xf>
    <xf numFmtId="0" fontId="28" fillId="0" borderId="15" xfId="109" applyFont="1" applyBorder="1">
      <alignment/>
      <protection/>
    </xf>
    <xf numFmtId="0" fontId="28" fillId="0" borderId="15" xfId="109" applyFont="1" applyBorder="1" applyAlignment="1">
      <alignment horizontal="left" vertical="center" wrapText="1"/>
      <protection/>
    </xf>
    <xf numFmtId="0" fontId="25" fillId="0" borderId="0" xfId="109" applyFont="1">
      <alignment/>
      <protection/>
    </xf>
    <xf numFmtId="3" fontId="39" fillId="0" borderId="23" xfId="112" applyNumberFormat="1" applyFont="1" applyBorder="1">
      <alignment/>
      <protection/>
    </xf>
    <xf numFmtId="3" fontId="39" fillId="0" borderId="24" xfId="112" applyNumberFormat="1" applyFont="1" applyBorder="1">
      <alignment/>
      <protection/>
    </xf>
    <xf numFmtId="0" fontId="20" fillId="0" borderId="25" xfId="112" applyFont="1" applyBorder="1">
      <alignment/>
      <protection/>
    </xf>
    <xf numFmtId="0" fontId="22" fillId="0" borderId="25" xfId="112" applyFont="1" applyBorder="1">
      <alignment/>
      <protection/>
    </xf>
    <xf numFmtId="0" fontId="22" fillId="0" borderId="26" xfId="112" applyFont="1" applyBorder="1">
      <alignment/>
      <protection/>
    </xf>
    <xf numFmtId="3" fontId="38" fillId="0" borderId="27" xfId="0" applyNumberFormat="1" applyFont="1" applyBorder="1" applyAlignment="1">
      <alignment horizontal="center" vertical="center" wrapText="1"/>
    </xf>
    <xf numFmtId="0" fontId="38" fillId="0" borderId="27" xfId="112" applyFont="1" applyBorder="1" applyAlignment="1">
      <alignment horizontal="center"/>
      <protection/>
    </xf>
    <xf numFmtId="3" fontId="20" fillId="0" borderId="16" xfId="0" applyNumberFormat="1" applyFont="1" applyBorder="1" applyAlignment="1">
      <alignment horizontal="center" vertical="center" wrapText="1"/>
    </xf>
    <xf numFmtId="3" fontId="52" fillId="0" borderId="16" xfId="0" applyNumberFormat="1" applyFont="1" applyBorder="1" applyAlignment="1">
      <alignment horizontal="left" wrapText="1"/>
    </xf>
    <xf numFmtId="0" fontId="51" fillId="0" borderId="16" xfId="111" applyFont="1" applyFill="1" applyBorder="1" applyAlignment="1">
      <alignment horizontal="center" vertical="center" wrapText="1"/>
      <protection/>
    </xf>
    <xf numFmtId="0" fontId="28" fillId="0" borderId="16" xfId="111" applyFont="1" applyFill="1" applyBorder="1" applyAlignment="1">
      <alignment vertical="center" wrapText="1"/>
      <protection/>
    </xf>
    <xf numFmtId="3" fontId="28" fillId="0" borderId="16" xfId="111" applyNumberFormat="1" applyFont="1" applyFill="1" applyBorder="1" applyAlignment="1">
      <alignment vertical="center"/>
      <protection/>
    </xf>
    <xf numFmtId="0" fontId="30" fillId="0" borderId="16" xfId="111" applyFont="1" applyFill="1" applyBorder="1" applyAlignment="1">
      <alignment vertical="center" wrapText="1"/>
      <protection/>
    </xf>
    <xf numFmtId="3" fontId="30" fillId="0" borderId="16" xfId="111" applyNumberFormat="1" applyFont="1" applyFill="1" applyBorder="1" applyAlignment="1">
      <alignment vertical="center"/>
      <protection/>
    </xf>
    <xf numFmtId="0" fontId="28" fillId="0" borderId="15" xfId="111" applyFont="1" applyFill="1" applyBorder="1" applyAlignment="1">
      <alignment horizontal="center" vertical="center" wrapText="1"/>
      <protection/>
    </xf>
    <xf numFmtId="3" fontId="28" fillId="0" borderId="20" xfId="111" applyNumberFormat="1" applyFont="1" applyFill="1" applyBorder="1" applyAlignment="1">
      <alignment vertical="center"/>
      <protection/>
    </xf>
    <xf numFmtId="0" fontId="30" fillId="0" borderId="15" xfId="111" applyFont="1" applyFill="1" applyBorder="1" applyAlignment="1">
      <alignment horizontal="center" vertical="center" wrapText="1"/>
      <protection/>
    </xf>
    <xf numFmtId="3" fontId="30" fillId="0" borderId="20" xfId="111" applyNumberFormat="1" applyFont="1" applyFill="1" applyBorder="1" applyAlignment="1">
      <alignment vertical="center"/>
      <protection/>
    </xf>
    <xf numFmtId="3" fontId="30" fillId="0" borderId="20" xfId="111" applyNumberFormat="1" applyFont="1" applyFill="1" applyBorder="1" applyAlignment="1">
      <alignment horizontal="right" vertical="center"/>
      <protection/>
    </xf>
    <xf numFmtId="0" fontId="51" fillId="0" borderId="14" xfId="111" applyFont="1" applyFill="1" applyBorder="1" applyAlignment="1">
      <alignment horizontal="center" vertical="center"/>
      <protection/>
    </xf>
    <xf numFmtId="3" fontId="30" fillId="0" borderId="15" xfId="111" applyNumberFormat="1" applyFont="1" applyFill="1" applyBorder="1" applyAlignment="1">
      <alignment horizontal="center" vertical="center"/>
      <protection/>
    </xf>
    <xf numFmtId="0" fontId="28" fillId="0" borderId="17" xfId="111" applyFont="1" applyFill="1" applyBorder="1">
      <alignment/>
      <protection/>
    </xf>
    <xf numFmtId="3" fontId="28" fillId="0" borderId="16" xfId="108" applyNumberFormat="1" applyFont="1" applyBorder="1">
      <alignment/>
      <protection/>
    </xf>
    <xf numFmtId="3" fontId="30" fillId="0" borderId="16" xfId="108" applyNumberFormat="1" applyFont="1" applyBorder="1">
      <alignment/>
      <protection/>
    </xf>
    <xf numFmtId="3" fontId="34" fillId="0" borderId="16" xfId="108" applyNumberFormat="1" applyFont="1" applyBorder="1">
      <alignment/>
      <protection/>
    </xf>
    <xf numFmtId="3" fontId="30" fillId="0" borderId="14" xfId="108" applyNumberFormat="1" applyFont="1" applyBorder="1" applyAlignment="1">
      <alignment horizontal="center"/>
      <protection/>
    </xf>
    <xf numFmtId="0" fontId="25" fillId="0" borderId="0" xfId="108" applyBorder="1" applyAlignment="1">
      <alignment wrapText="1"/>
      <protection/>
    </xf>
    <xf numFmtId="3" fontId="20" fillId="0" borderId="14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/>
    </xf>
    <xf numFmtId="0" fontId="0" fillId="0" borderId="18" xfId="0" applyBorder="1" applyAlignment="1">
      <alignment/>
    </xf>
    <xf numFmtId="3" fontId="57" fillId="0" borderId="14" xfId="0" applyNumberFormat="1" applyFont="1" applyBorder="1" applyAlignment="1">
      <alignment horizontal="center" vertical="center" wrapText="1"/>
    </xf>
    <xf numFmtId="3" fontId="29" fillId="0" borderId="16" xfId="108" applyNumberFormat="1" applyFont="1" applyBorder="1">
      <alignment/>
      <protection/>
    </xf>
    <xf numFmtId="3" fontId="30" fillId="0" borderId="18" xfId="108" applyNumberFormat="1" applyFont="1" applyBorder="1">
      <alignment/>
      <protection/>
    </xf>
    <xf numFmtId="2" fontId="28" fillId="0" borderId="16" xfId="0" applyNumberFormat="1" applyFont="1" applyBorder="1" applyAlignment="1">
      <alignment horizontal="center" vertical="top" wrapText="1"/>
    </xf>
    <xf numFmtId="2" fontId="43" fillId="0" borderId="16" xfId="0" applyNumberFormat="1" applyFont="1" applyBorder="1" applyAlignment="1">
      <alignment horizontal="center" vertical="top" wrapText="1"/>
    </xf>
    <xf numFmtId="2" fontId="34" fillId="0" borderId="16" xfId="0" applyNumberFormat="1" applyFont="1" applyBorder="1" applyAlignment="1">
      <alignment horizontal="center" vertical="top" wrapText="1"/>
    </xf>
    <xf numFmtId="2" fontId="30" fillId="0" borderId="16" xfId="0" applyNumberFormat="1" applyFont="1" applyBorder="1" applyAlignment="1">
      <alignment horizontal="center" vertical="top" wrapText="1"/>
    </xf>
    <xf numFmtId="2" fontId="28" fillId="0" borderId="16" xfId="0" applyNumberFormat="1" applyFont="1" applyBorder="1" applyAlignment="1">
      <alignment horizontal="center"/>
    </xf>
    <xf numFmtId="2" fontId="30" fillId="0" borderId="16" xfId="0" applyNumberFormat="1" applyFont="1" applyBorder="1" applyAlignment="1">
      <alignment horizontal="center" vertical="top" wrapText="1"/>
    </xf>
    <xf numFmtId="0" fontId="28" fillId="0" borderId="20" xfId="0" applyFont="1" applyBorder="1" applyAlignment="1">
      <alignment/>
    </xf>
    <xf numFmtId="0" fontId="43" fillId="0" borderId="15" xfId="0" applyFont="1" applyBorder="1" applyAlignment="1">
      <alignment horizontal="justify" vertical="top" wrapText="1"/>
    </xf>
    <xf numFmtId="0" fontId="34" fillId="0" borderId="15" xfId="0" applyFont="1" applyBorder="1" applyAlignment="1">
      <alignment horizontal="justify" vertical="top" wrapText="1"/>
    </xf>
    <xf numFmtId="0" fontId="34" fillId="0" borderId="15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justify" vertical="top" wrapText="1"/>
    </xf>
    <xf numFmtId="0" fontId="30" fillId="0" borderId="15" xfId="0" applyFont="1" applyBorder="1" applyAlignment="1">
      <alignment horizontal="justify" vertical="top" wrapText="1"/>
    </xf>
    <xf numFmtId="0" fontId="28" fillId="0" borderId="15" xfId="0" applyFont="1" applyBorder="1" applyAlignment="1" quotePrefix="1">
      <alignment horizontal="justify" vertical="top" wrapText="1"/>
    </xf>
    <xf numFmtId="49" fontId="28" fillId="0" borderId="15" xfId="0" applyNumberFormat="1" applyFont="1" applyBorder="1" applyAlignment="1">
      <alignment horizontal="justify" vertical="top" wrapText="1"/>
    </xf>
    <xf numFmtId="0" fontId="30" fillId="0" borderId="17" xfId="0" applyFont="1" applyBorder="1" applyAlignment="1">
      <alignment horizontal="justify" vertical="top" wrapText="1"/>
    </xf>
    <xf numFmtId="2" fontId="30" fillId="0" borderId="18" xfId="0" applyNumberFormat="1" applyFont="1" applyBorder="1" applyAlignment="1">
      <alignment horizontal="center" vertical="top" wrapText="1"/>
    </xf>
    <xf numFmtId="0" fontId="30" fillId="0" borderId="17" xfId="0" applyFont="1" applyBorder="1" applyAlignment="1">
      <alignment/>
    </xf>
    <xf numFmtId="2" fontId="30" fillId="0" borderId="18" xfId="0" applyNumberFormat="1" applyFont="1" applyBorder="1" applyAlignment="1">
      <alignment horizontal="center"/>
    </xf>
    <xf numFmtId="0" fontId="45" fillId="0" borderId="28" xfId="115" applyFont="1" applyBorder="1" applyAlignment="1">
      <alignment horizontal="center" vertical="center" wrapText="1"/>
      <protection/>
    </xf>
    <xf numFmtId="0" fontId="45" fillId="0" borderId="29" xfId="115" applyFont="1" applyBorder="1" applyAlignment="1">
      <alignment horizontal="center" vertical="center" wrapText="1"/>
      <protection/>
    </xf>
    <xf numFmtId="3" fontId="48" fillId="0" borderId="14" xfId="115" applyNumberFormat="1" applyFont="1" applyBorder="1" applyAlignment="1">
      <alignment horizontal="right" vertical="center" wrapText="1"/>
      <protection/>
    </xf>
    <xf numFmtId="3" fontId="48" fillId="0" borderId="13" xfId="115" applyNumberFormat="1" applyFont="1" applyBorder="1" applyAlignment="1">
      <alignment horizontal="right" vertical="center" wrapText="1"/>
      <protection/>
    </xf>
    <xf numFmtId="3" fontId="48" fillId="0" borderId="30" xfId="115" applyNumberFormat="1" applyFont="1" applyBorder="1" applyAlignment="1">
      <alignment horizontal="right" vertical="center" wrapText="1"/>
      <protection/>
    </xf>
    <xf numFmtId="3" fontId="46" fillId="0" borderId="15" xfId="116" applyNumberFormat="1" applyFont="1" applyBorder="1" applyAlignment="1">
      <alignment vertical="center"/>
      <protection/>
    </xf>
    <xf numFmtId="3" fontId="46" fillId="0" borderId="20" xfId="115" applyNumberFormat="1" applyFont="1" applyBorder="1" applyAlignment="1">
      <alignment vertical="center"/>
      <protection/>
    </xf>
    <xf numFmtId="3" fontId="48" fillId="0" borderId="15" xfId="116" applyNumberFormat="1" applyFont="1" applyBorder="1" applyAlignment="1">
      <alignment vertical="center"/>
      <protection/>
    </xf>
    <xf numFmtId="3" fontId="45" fillId="0" borderId="17" xfId="115" applyNumberFormat="1" applyFont="1" applyBorder="1" applyAlignment="1">
      <alignment vertical="center"/>
      <protection/>
    </xf>
    <xf numFmtId="3" fontId="28" fillId="0" borderId="16" xfId="108" applyNumberFormat="1" applyFont="1" applyFill="1" applyBorder="1">
      <alignment/>
      <protection/>
    </xf>
    <xf numFmtId="0" fontId="30" fillId="0" borderId="15" xfId="108" applyFont="1" applyFill="1" applyBorder="1" applyAlignment="1">
      <alignment wrapText="1"/>
      <protection/>
    </xf>
    <xf numFmtId="3" fontId="30" fillId="0" borderId="16" xfId="108" applyNumberFormat="1" applyFont="1" applyFill="1" applyBorder="1">
      <alignment/>
      <protection/>
    </xf>
    <xf numFmtId="3" fontId="48" fillId="0" borderId="31" xfId="115" applyNumberFormat="1" applyFont="1" applyBorder="1" applyAlignment="1">
      <alignment horizontal="left" vertical="center" wrapText="1"/>
      <protection/>
    </xf>
    <xf numFmtId="3" fontId="46" fillId="0" borderId="32" xfId="116" applyNumberFormat="1" applyFont="1" applyBorder="1" applyAlignment="1">
      <alignment vertical="center" wrapText="1"/>
      <protection/>
    </xf>
    <xf numFmtId="3" fontId="48" fillId="0" borderId="32" xfId="116" applyNumberFormat="1" applyFont="1" applyBorder="1" applyAlignment="1">
      <alignment vertical="center" wrapText="1"/>
      <protection/>
    </xf>
    <xf numFmtId="3" fontId="45" fillId="0" borderId="33" xfId="115" applyNumberFormat="1" applyFont="1" applyBorder="1" applyAlignment="1">
      <alignment vertical="center"/>
      <protection/>
    </xf>
    <xf numFmtId="3" fontId="48" fillId="0" borderId="0" xfId="115" applyNumberFormat="1" applyFont="1" applyBorder="1" applyAlignment="1">
      <alignment horizontal="center" vertical="center"/>
      <protection/>
    </xf>
    <xf numFmtId="3" fontId="45" fillId="0" borderId="18" xfId="115" applyNumberFormat="1" applyFont="1" applyBorder="1" applyAlignment="1">
      <alignment horizontal="center" vertical="center" wrapText="1"/>
      <protection/>
    </xf>
    <xf numFmtId="3" fontId="45" fillId="0" borderId="19" xfId="115" applyNumberFormat="1" applyFont="1" applyBorder="1" applyAlignment="1">
      <alignment horizontal="center" vertical="center" wrapText="1"/>
      <protection/>
    </xf>
    <xf numFmtId="3" fontId="45" fillId="0" borderId="34" xfId="115" applyNumberFormat="1" applyFont="1" applyBorder="1" applyAlignment="1">
      <alignment vertical="center"/>
      <protection/>
    </xf>
    <xf numFmtId="3" fontId="48" fillId="0" borderId="15" xfId="115" applyNumberFormat="1" applyFont="1" applyBorder="1" applyAlignment="1">
      <alignment vertical="center"/>
      <protection/>
    </xf>
    <xf numFmtId="3" fontId="45" fillId="0" borderId="15" xfId="115" applyNumberFormat="1" applyFont="1" applyBorder="1" applyAlignment="1">
      <alignment vertical="center"/>
      <protection/>
    </xf>
    <xf numFmtId="3" fontId="30" fillId="0" borderId="16" xfId="109" applyNumberFormat="1" applyFont="1" applyBorder="1">
      <alignment/>
      <protection/>
    </xf>
    <xf numFmtId="0" fontId="30" fillId="0" borderId="16" xfId="109" applyFont="1" applyBorder="1" applyAlignment="1">
      <alignment wrapText="1"/>
      <protection/>
    </xf>
    <xf numFmtId="3" fontId="28" fillId="0" borderId="16" xfId="109" applyNumberFormat="1" applyFont="1" applyBorder="1">
      <alignment/>
      <protection/>
    </xf>
    <xf numFmtId="0" fontId="28" fillId="0" borderId="16" xfId="109" applyFont="1" applyBorder="1" applyAlignment="1">
      <alignment wrapText="1"/>
      <protection/>
    </xf>
    <xf numFmtId="0" fontId="30" fillId="0" borderId="15" xfId="109" applyFont="1" applyBorder="1">
      <alignment/>
      <protection/>
    </xf>
    <xf numFmtId="0" fontId="30" fillId="0" borderId="17" xfId="109" applyFont="1" applyBorder="1">
      <alignment/>
      <protection/>
    </xf>
    <xf numFmtId="3" fontId="30" fillId="0" borderId="18" xfId="109" applyNumberFormat="1" applyFont="1" applyBorder="1">
      <alignment/>
      <protection/>
    </xf>
    <xf numFmtId="0" fontId="30" fillId="0" borderId="18" xfId="109" applyFont="1" applyBorder="1">
      <alignment/>
      <protection/>
    </xf>
    <xf numFmtId="0" fontId="30" fillId="0" borderId="16" xfId="109" applyFont="1" applyBorder="1" applyAlignment="1">
      <alignment horizontal="left" vertical="center"/>
      <protection/>
    </xf>
    <xf numFmtId="3" fontId="30" fillId="0" borderId="16" xfId="109" applyNumberFormat="1" applyFont="1" applyBorder="1" applyAlignment="1">
      <alignment horizontal="right" vertical="center"/>
      <protection/>
    </xf>
    <xf numFmtId="0" fontId="28" fillId="0" borderId="16" xfId="109" applyFont="1" applyBorder="1" applyAlignment="1">
      <alignment horizontal="left" vertical="center" wrapText="1"/>
      <protection/>
    </xf>
    <xf numFmtId="3" fontId="28" fillId="0" borderId="16" xfId="109" applyNumberFormat="1" applyFont="1" applyBorder="1" applyAlignment="1">
      <alignment horizontal="right" vertical="center"/>
      <protection/>
    </xf>
    <xf numFmtId="0" fontId="30" fillId="0" borderId="15" xfId="109" applyFont="1" applyBorder="1" applyAlignment="1">
      <alignment horizontal="left" vertical="center"/>
      <protection/>
    </xf>
    <xf numFmtId="0" fontId="30" fillId="0" borderId="17" xfId="109" applyFont="1" applyBorder="1" applyAlignment="1">
      <alignment horizontal="left" vertical="center"/>
      <protection/>
    </xf>
    <xf numFmtId="3" fontId="30" fillId="0" borderId="18" xfId="109" applyNumberFormat="1" applyFont="1" applyBorder="1" applyAlignment="1">
      <alignment horizontal="right" vertical="center"/>
      <protection/>
    </xf>
    <xf numFmtId="0" fontId="30" fillId="0" borderId="18" xfId="109" applyFont="1" applyBorder="1" applyAlignment="1">
      <alignment horizontal="left" vertical="center"/>
      <protection/>
    </xf>
    <xf numFmtId="3" fontId="45" fillId="0" borderId="16" xfId="116" applyNumberFormat="1" applyFont="1" applyBorder="1">
      <alignment/>
      <protection/>
    </xf>
    <xf numFmtId="3" fontId="55" fillId="0" borderId="16" xfId="116" applyNumberFormat="1" applyFont="1" applyBorder="1">
      <alignment/>
      <protection/>
    </xf>
    <xf numFmtId="3" fontId="45" fillId="0" borderId="14" xfId="116" applyNumberFormat="1" applyFont="1" applyBorder="1" applyAlignment="1">
      <alignment horizontal="center"/>
      <protection/>
    </xf>
    <xf numFmtId="3" fontId="45" fillId="0" borderId="18" xfId="116" applyNumberFormat="1" applyFont="1" applyBorder="1">
      <alignment/>
      <protection/>
    </xf>
    <xf numFmtId="0" fontId="30" fillId="0" borderId="0" xfId="109" applyFont="1" applyBorder="1">
      <alignment/>
      <protection/>
    </xf>
    <xf numFmtId="3" fontId="30" fillId="0" borderId="0" xfId="109" applyNumberFormat="1" applyFont="1" applyBorder="1">
      <alignment/>
      <protection/>
    </xf>
    <xf numFmtId="0" fontId="30" fillId="0" borderId="16" xfId="109" applyFont="1" applyBorder="1" applyAlignment="1">
      <alignment horizontal="left" vertical="center" wrapText="1"/>
      <protection/>
    </xf>
    <xf numFmtId="3" fontId="30" fillId="0" borderId="0" xfId="109" applyNumberFormat="1" applyFont="1">
      <alignment/>
      <protection/>
    </xf>
    <xf numFmtId="0" fontId="28" fillId="0" borderId="35" xfId="108" applyFont="1" applyBorder="1" applyAlignment="1">
      <alignment wrapText="1"/>
      <protection/>
    </xf>
    <xf numFmtId="3" fontId="28" fillId="0" borderId="28" xfId="108" applyNumberFormat="1" applyFont="1" applyBorder="1">
      <alignment/>
      <protection/>
    </xf>
    <xf numFmtId="3" fontId="29" fillId="0" borderId="28" xfId="108" applyNumberFormat="1" applyFont="1" applyBorder="1">
      <alignment/>
      <protection/>
    </xf>
    <xf numFmtId="0" fontId="38" fillId="0" borderId="36" xfId="112" applyFont="1" applyBorder="1" applyAlignment="1">
      <alignment horizontal="center" wrapText="1"/>
      <protection/>
    </xf>
    <xf numFmtId="49" fontId="38" fillId="0" borderId="37" xfId="112" applyNumberFormat="1" applyFont="1" applyBorder="1" applyAlignment="1">
      <alignment wrapText="1"/>
      <protection/>
    </xf>
    <xf numFmtId="49" fontId="39" fillId="0" borderId="37" xfId="112" applyNumberFormat="1" applyFont="1" applyBorder="1" applyAlignment="1">
      <alignment wrapText="1"/>
      <protection/>
    </xf>
    <xf numFmtId="3" fontId="38" fillId="0" borderId="25" xfId="112" applyNumberFormat="1" applyFont="1" applyBorder="1">
      <alignment/>
      <protection/>
    </xf>
    <xf numFmtId="3" fontId="39" fillId="0" borderId="25" xfId="112" applyNumberFormat="1" applyFont="1" applyBorder="1">
      <alignment/>
      <protection/>
    </xf>
    <xf numFmtId="3" fontId="41" fillId="0" borderId="25" xfId="114" applyNumberFormat="1" applyFont="1" applyBorder="1">
      <alignment/>
      <protection/>
    </xf>
    <xf numFmtId="3" fontId="40" fillId="0" borderId="25" xfId="112" applyNumberFormat="1" applyFont="1" applyBorder="1">
      <alignment/>
      <protection/>
    </xf>
    <xf numFmtId="3" fontId="38" fillId="0" borderId="38" xfId="112" applyNumberFormat="1" applyFont="1" applyBorder="1">
      <alignment/>
      <protection/>
    </xf>
    <xf numFmtId="3" fontId="38" fillId="0" borderId="39" xfId="112" applyNumberFormat="1" applyFont="1" applyBorder="1">
      <alignment/>
      <protection/>
    </xf>
    <xf numFmtId="0" fontId="38" fillId="0" borderId="40" xfId="112" applyFont="1" applyBorder="1" applyAlignment="1">
      <alignment horizontal="center" wrapText="1"/>
      <protection/>
    </xf>
    <xf numFmtId="49" fontId="38" fillId="0" borderId="41" xfId="112" applyNumberFormat="1" applyFont="1" applyBorder="1" applyAlignment="1">
      <alignment wrapText="1"/>
      <protection/>
    </xf>
    <xf numFmtId="49" fontId="39" fillId="0" borderId="23" xfId="112" applyNumberFormat="1" applyFont="1" applyBorder="1" applyAlignment="1">
      <alignment wrapText="1"/>
      <protection/>
    </xf>
    <xf numFmtId="49" fontId="38" fillId="0" borderId="24" xfId="112" applyNumberFormat="1" applyFont="1" applyBorder="1" applyAlignment="1">
      <alignment wrapText="1"/>
      <protection/>
    </xf>
    <xf numFmtId="49" fontId="39" fillId="0" borderId="24" xfId="112" applyNumberFormat="1" applyFont="1" applyBorder="1" applyAlignment="1">
      <alignment wrapText="1"/>
      <protection/>
    </xf>
    <xf numFmtId="49" fontId="39" fillId="0" borderId="24" xfId="112" applyNumberFormat="1" applyFont="1" applyBorder="1" applyAlignment="1">
      <alignment wrapText="1"/>
      <protection/>
    </xf>
    <xf numFmtId="49" fontId="38" fillId="0" borderId="24" xfId="112" applyNumberFormat="1" applyFont="1" applyBorder="1" applyAlignment="1">
      <alignment wrapText="1"/>
      <protection/>
    </xf>
    <xf numFmtId="49" fontId="39" fillId="0" borderId="42" xfId="112" applyNumberFormat="1" applyFont="1" applyBorder="1" applyAlignment="1">
      <alignment wrapText="1"/>
      <protection/>
    </xf>
    <xf numFmtId="49" fontId="38" fillId="0" borderId="25" xfId="112" applyNumberFormat="1" applyFont="1" applyBorder="1" applyAlignment="1">
      <alignment wrapText="1"/>
      <protection/>
    </xf>
    <xf numFmtId="49" fontId="39" fillId="0" borderId="25" xfId="112" applyNumberFormat="1" applyFont="1" applyBorder="1" applyAlignment="1">
      <alignment wrapText="1"/>
      <protection/>
    </xf>
    <xf numFmtId="0" fontId="38" fillId="0" borderId="43" xfId="112" applyFont="1" applyBorder="1" applyAlignment="1">
      <alignment wrapText="1"/>
      <protection/>
    </xf>
    <xf numFmtId="0" fontId="38" fillId="0" borderId="27" xfId="112" applyFont="1" applyBorder="1" applyAlignment="1">
      <alignment wrapText="1"/>
      <protection/>
    </xf>
    <xf numFmtId="0" fontId="38" fillId="0" borderId="23" xfId="112" applyFont="1" applyBorder="1" applyAlignment="1">
      <alignment wrapText="1"/>
      <protection/>
    </xf>
    <xf numFmtId="0" fontId="38" fillId="0" borderId="44" xfId="112" applyFont="1" applyBorder="1" applyAlignment="1">
      <alignment wrapText="1"/>
      <protection/>
    </xf>
    <xf numFmtId="0" fontId="38" fillId="0" borderId="45" xfId="118" applyFont="1" applyBorder="1" applyAlignment="1">
      <alignment wrapText="1"/>
      <protection/>
    </xf>
    <xf numFmtId="3" fontId="38" fillId="0" borderId="23" xfId="112" applyNumberFormat="1" applyFont="1" applyBorder="1">
      <alignment/>
      <protection/>
    </xf>
    <xf numFmtId="3" fontId="39" fillId="0" borderId="23" xfId="112" applyNumberFormat="1" applyFont="1" applyBorder="1">
      <alignment/>
      <protection/>
    </xf>
    <xf numFmtId="3" fontId="38" fillId="0" borderId="24" xfId="112" applyNumberFormat="1" applyFont="1" applyBorder="1">
      <alignment/>
      <protection/>
    </xf>
    <xf numFmtId="3" fontId="39" fillId="0" borderId="42" xfId="112" applyNumberFormat="1" applyFont="1" applyBorder="1">
      <alignment/>
      <protection/>
    </xf>
    <xf numFmtId="3" fontId="39" fillId="0" borderId="25" xfId="112" applyNumberFormat="1" applyFont="1" applyBorder="1">
      <alignment/>
      <protection/>
    </xf>
    <xf numFmtId="3" fontId="38" fillId="0" borderId="43" xfId="112" applyNumberFormat="1" applyFont="1" applyBorder="1">
      <alignment/>
      <protection/>
    </xf>
    <xf numFmtId="3" fontId="38" fillId="0" borderId="27" xfId="112" applyNumberFormat="1" applyFont="1" applyBorder="1">
      <alignment/>
      <protection/>
    </xf>
    <xf numFmtId="3" fontId="38" fillId="0" borderId="23" xfId="112" applyNumberFormat="1" applyFont="1" applyBorder="1">
      <alignment/>
      <protection/>
    </xf>
    <xf numFmtId="3" fontId="38" fillId="0" borderId="44" xfId="112" applyNumberFormat="1" applyFont="1" applyBorder="1">
      <alignment/>
      <protection/>
    </xf>
    <xf numFmtId="3" fontId="38" fillId="0" borderId="45" xfId="118" applyNumberFormat="1" applyFont="1" applyBorder="1">
      <alignment/>
      <protection/>
    </xf>
    <xf numFmtId="49" fontId="38" fillId="0" borderId="46" xfId="112" applyNumberFormat="1" applyFont="1" applyBorder="1" applyAlignment="1">
      <alignment wrapText="1"/>
      <protection/>
    </xf>
    <xf numFmtId="49" fontId="39" fillId="0" borderId="47" xfId="112" applyNumberFormat="1" applyFont="1" applyBorder="1" applyAlignment="1">
      <alignment wrapText="1"/>
      <protection/>
    </xf>
    <xf numFmtId="49" fontId="38" fillId="0" borderId="47" xfId="112" applyNumberFormat="1" applyFont="1" applyBorder="1" applyAlignment="1">
      <alignment wrapText="1"/>
      <protection/>
    </xf>
    <xf numFmtId="49" fontId="38" fillId="0" borderId="37" xfId="112" applyNumberFormat="1" applyFont="1" applyBorder="1" applyAlignment="1">
      <alignment wrapText="1"/>
      <protection/>
    </xf>
    <xf numFmtId="49" fontId="39" fillId="0" borderId="48" xfId="112" applyNumberFormat="1" applyFont="1" applyBorder="1" applyAlignment="1">
      <alignment wrapText="1"/>
      <protection/>
    </xf>
    <xf numFmtId="49" fontId="38" fillId="0" borderId="49" xfId="112" applyNumberFormat="1" applyFont="1" applyBorder="1" applyAlignment="1">
      <alignment wrapText="1"/>
      <protection/>
    </xf>
    <xf numFmtId="0" fontId="38" fillId="0" borderId="49" xfId="112" applyFont="1" applyBorder="1" applyAlignment="1">
      <alignment wrapText="1"/>
      <protection/>
    </xf>
    <xf numFmtId="0" fontId="38" fillId="0" borderId="50" xfId="112" applyFont="1" applyBorder="1" applyAlignment="1">
      <alignment wrapText="1"/>
      <protection/>
    </xf>
    <xf numFmtId="0" fontId="38" fillId="0" borderId="40" xfId="112" applyFont="1" applyBorder="1" applyAlignment="1">
      <alignment horizontal="center"/>
      <protection/>
    </xf>
    <xf numFmtId="3" fontId="38" fillId="0" borderId="41" xfId="112" applyNumberFormat="1" applyFont="1" applyBorder="1">
      <alignment/>
      <protection/>
    </xf>
    <xf numFmtId="3" fontId="38" fillId="0" borderId="51" xfId="112" applyNumberFormat="1" applyFont="1" applyBorder="1">
      <alignment/>
      <protection/>
    </xf>
    <xf numFmtId="0" fontId="28" fillId="0" borderId="15" xfId="0" applyFont="1" applyBorder="1" applyAlignment="1">
      <alignment horizontal="left" vertical="center" wrapText="1"/>
    </xf>
    <xf numFmtId="3" fontId="38" fillId="0" borderId="47" xfId="112" applyNumberFormat="1" applyFont="1" applyBorder="1">
      <alignment/>
      <protection/>
    </xf>
    <xf numFmtId="3" fontId="38" fillId="0" borderId="37" xfId="112" applyNumberFormat="1" applyFont="1" applyBorder="1">
      <alignment/>
      <protection/>
    </xf>
    <xf numFmtId="3" fontId="39" fillId="0" borderId="37" xfId="112" applyNumberFormat="1" applyFont="1" applyBorder="1">
      <alignment/>
      <protection/>
    </xf>
    <xf numFmtId="3" fontId="38" fillId="0" borderId="52" xfId="112" applyNumberFormat="1" applyFont="1" applyBorder="1">
      <alignment/>
      <protection/>
    </xf>
    <xf numFmtId="3" fontId="38" fillId="0" borderId="53" xfId="112" applyNumberFormat="1" applyFont="1" applyBorder="1">
      <alignment/>
      <protection/>
    </xf>
    <xf numFmtId="3" fontId="38" fillId="0" borderId="47" xfId="112" applyNumberFormat="1" applyFont="1" applyBorder="1">
      <alignment/>
      <protection/>
    </xf>
    <xf numFmtId="3" fontId="38" fillId="0" borderId="49" xfId="112" applyNumberFormat="1" applyFont="1" applyBorder="1">
      <alignment/>
      <protection/>
    </xf>
    <xf numFmtId="0" fontId="38" fillId="0" borderId="51" xfId="112" applyFont="1" applyBorder="1" applyAlignment="1">
      <alignment horizontal="center"/>
      <protection/>
    </xf>
    <xf numFmtId="0" fontId="22" fillId="0" borderId="32" xfId="112" applyFont="1" applyBorder="1">
      <alignment/>
      <protection/>
    </xf>
    <xf numFmtId="0" fontId="49" fillId="0" borderId="17" xfId="111" applyFont="1" applyFill="1" applyBorder="1" applyAlignment="1">
      <alignment horizontal="center" vertical="center"/>
      <protection/>
    </xf>
    <xf numFmtId="0" fontId="28" fillId="0" borderId="20" xfId="109" applyFont="1" applyBorder="1">
      <alignment/>
      <protection/>
    </xf>
    <xf numFmtId="0" fontId="45" fillId="0" borderId="0" xfId="115" applyFont="1" applyBorder="1" applyAlignment="1">
      <alignment/>
      <protection/>
    </xf>
    <xf numFmtId="3" fontId="30" fillId="0" borderId="18" xfId="111" applyNumberFormat="1" applyFont="1" applyFill="1" applyBorder="1" applyAlignment="1">
      <alignment vertical="center"/>
      <protection/>
    </xf>
    <xf numFmtId="3" fontId="30" fillId="0" borderId="19" xfId="111" applyNumberFormat="1" applyFont="1" applyFill="1" applyBorder="1" applyAlignment="1">
      <alignment vertical="center"/>
      <protection/>
    </xf>
    <xf numFmtId="3" fontId="30" fillId="0" borderId="30" xfId="0" applyNumberFormat="1" applyFont="1" applyBorder="1" applyAlignment="1">
      <alignment horizontal="center" wrapText="1"/>
    </xf>
    <xf numFmtId="3" fontId="45" fillId="0" borderId="54" xfId="115" applyNumberFormat="1" applyFont="1" applyBorder="1" applyAlignment="1">
      <alignment vertical="center"/>
      <protection/>
    </xf>
    <xf numFmtId="3" fontId="46" fillId="0" borderId="15" xfId="115" applyNumberFormat="1" applyFont="1" applyBorder="1" applyAlignment="1">
      <alignment vertical="center"/>
      <protection/>
    </xf>
    <xf numFmtId="3" fontId="30" fillId="0" borderId="30" xfId="0" applyNumberFormat="1" applyFont="1" applyBorder="1" applyAlignment="1">
      <alignment horizontal="center" vertical="center" wrapText="1"/>
    </xf>
    <xf numFmtId="0" fontId="45" fillId="0" borderId="0" xfId="115" applyFont="1" applyAlignment="1">
      <alignment horizontal="center" vertical="center"/>
      <protection/>
    </xf>
    <xf numFmtId="0" fontId="46" fillId="0" borderId="0" xfId="115" applyFont="1" applyAlignment="1">
      <alignment vertical="center"/>
      <protection/>
    </xf>
    <xf numFmtId="0" fontId="48" fillId="0" borderId="0" xfId="115" applyFont="1" applyAlignment="1">
      <alignment horizontal="center" vertical="center"/>
      <protection/>
    </xf>
    <xf numFmtId="3" fontId="48" fillId="0" borderId="55" xfId="115" applyNumberFormat="1" applyFont="1" applyBorder="1" applyAlignment="1">
      <alignment vertical="center" wrapText="1"/>
      <protection/>
    </xf>
    <xf numFmtId="3" fontId="48" fillId="0" borderId="56" xfId="115" applyNumberFormat="1" applyFont="1" applyBorder="1" applyAlignment="1">
      <alignment vertical="center" wrapText="1"/>
      <protection/>
    </xf>
    <xf numFmtId="3" fontId="48" fillId="0" borderId="13" xfId="115" applyNumberFormat="1" applyFont="1" applyBorder="1" applyAlignment="1">
      <alignment vertical="center" wrapText="1"/>
      <protection/>
    </xf>
    <xf numFmtId="3" fontId="46" fillId="0" borderId="57" xfId="115" applyNumberFormat="1" applyFont="1" applyBorder="1" applyAlignment="1">
      <alignment vertical="center"/>
      <protection/>
    </xf>
    <xf numFmtId="3" fontId="48" fillId="0" borderId="57" xfId="115" applyNumberFormat="1" applyFont="1" applyBorder="1" applyAlignment="1">
      <alignment vertical="center"/>
      <protection/>
    </xf>
    <xf numFmtId="3" fontId="48" fillId="0" borderId="58" xfId="115" applyNumberFormat="1" applyFont="1" applyBorder="1" applyAlignment="1">
      <alignment vertical="center"/>
      <protection/>
    </xf>
    <xf numFmtId="3" fontId="46" fillId="0" borderId="0" xfId="115" applyNumberFormat="1" applyFont="1" applyAlignment="1">
      <alignment vertical="center"/>
      <protection/>
    </xf>
    <xf numFmtId="3" fontId="46" fillId="0" borderId="15" xfId="116" applyNumberFormat="1" applyFont="1" applyBorder="1" applyAlignment="1">
      <alignment vertical="center" wrapText="1"/>
      <protection/>
    </xf>
    <xf numFmtId="3" fontId="48" fillId="0" borderId="15" xfId="116" applyNumberFormat="1" applyFont="1" applyBorder="1" applyAlignment="1">
      <alignment vertical="center" wrapText="1"/>
      <protection/>
    </xf>
    <xf numFmtId="3" fontId="48" fillId="0" borderId="16" xfId="116" applyNumberFormat="1" applyFont="1" applyBorder="1" applyAlignment="1">
      <alignment vertical="center"/>
      <protection/>
    </xf>
    <xf numFmtId="3" fontId="48" fillId="0" borderId="20" xfId="116" applyNumberFormat="1" applyFont="1" applyBorder="1" applyAlignment="1">
      <alignment vertical="center"/>
      <protection/>
    </xf>
    <xf numFmtId="3" fontId="46" fillId="0" borderId="16" xfId="116" applyNumberFormat="1" applyFont="1" applyBorder="1" applyAlignment="1">
      <alignment vertical="center"/>
      <protection/>
    </xf>
    <xf numFmtId="0" fontId="45" fillId="0" borderId="0" xfId="115" applyFont="1" applyAlignment="1">
      <alignment vertical="center"/>
      <protection/>
    </xf>
    <xf numFmtId="3" fontId="45" fillId="0" borderId="0" xfId="115" applyNumberFormat="1" applyFont="1" applyAlignment="1">
      <alignment vertical="center"/>
      <protection/>
    </xf>
    <xf numFmtId="3" fontId="45" fillId="0" borderId="15" xfId="0" applyNumberFormat="1" applyFont="1" applyBorder="1" applyAlignment="1">
      <alignment wrapText="1"/>
    </xf>
    <xf numFmtId="0" fontId="46" fillId="0" borderId="15" xfId="0" applyFont="1" applyBorder="1" applyAlignment="1">
      <alignment/>
    </xf>
    <xf numFmtId="3" fontId="39" fillId="0" borderId="43" xfId="112" applyNumberFormat="1" applyFont="1" applyBorder="1">
      <alignment/>
      <protection/>
    </xf>
    <xf numFmtId="0" fontId="39" fillId="0" borderId="15" xfId="0" applyFont="1" applyBorder="1" applyAlignment="1">
      <alignment/>
    </xf>
    <xf numFmtId="49" fontId="28" fillId="0" borderId="15" xfId="108" applyNumberFormat="1" applyFont="1" applyBorder="1" applyAlignment="1">
      <alignment wrapText="1"/>
      <protection/>
    </xf>
    <xf numFmtId="3" fontId="46" fillId="0" borderId="0" xfId="116" applyNumberFormat="1" applyFont="1" applyBorder="1" applyAlignment="1">
      <alignment wrapText="1"/>
      <protection/>
    </xf>
    <xf numFmtId="3" fontId="45" fillId="0" borderId="13" xfId="116" applyNumberFormat="1" applyFont="1" applyBorder="1" applyAlignment="1">
      <alignment horizontal="center" wrapText="1"/>
      <protection/>
    </xf>
    <xf numFmtId="3" fontId="45" fillId="0" borderId="15" xfId="116" applyNumberFormat="1" applyFont="1" applyBorder="1" applyAlignment="1">
      <alignment wrapText="1"/>
      <protection/>
    </xf>
    <xf numFmtId="3" fontId="55" fillId="0" borderId="15" xfId="116" applyNumberFormat="1" applyFont="1" applyBorder="1" applyAlignment="1">
      <alignment wrapText="1"/>
      <protection/>
    </xf>
    <xf numFmtId="3" fontId="46" fillId="0" borderId="15" xfId="116" applyNumberFormat="1" applyFont="1" applyBorder="1" applyAlignment="1">
      <alignment wrapText="1"/>
      <protection/>
    </xf>
    <xf numFmtId="3" fontId="48" fillId="0" borderId="15" xfId="116" applyNumberFormat="1" applyFont="1" applyBorder="1" applyAlignment="1">
      <alignment wrapText="1"/>
      <protection/>
    </xf>
    <xf numFmtId="3" fontId="45" fillId="0" borderId="17" xfId="116" applyNumberFormat="1" applyFont="1" applyBorder="1" applyAlignment="1">
      <alignment wrapText="1"/>
      <protection/>
    </xf>
    <xf numFmtId="3" fontId="46" fillId="0" borderId="0" xfId="116" applyNumberFormat="1" applyFont="1" applyAlignment="1">
      <alignment wrapText="1"/>
      <protection/>
    </xf>
    <xf numFmtId="0" fontId="55" fillId="0" borderId="20" xfId="116" applyFont="1" applyBorder="1">
      <alignment/>
      <protection/>
    </xf>
    <xf numFmtId="0" fontId="45" fillId="0" borderId="20" xfId="116" applyFont="1" applyBorder="1">
      <alignment/>
      <protection/>
    </xf>
    <xf numFmtId="0" fontId="46" fillId="0" borderId="20" xfId="116" applyFont="1" applyBorder="1">
      <alignment/>
      <protection/>
    </xf>
    <xf numFmtId="3" fontId="38" fillId="0" borderId="59" xfId="112" applyNumberFormat="1" applyFont="1" applyBorder="1">
      <alignment/>
      <protection/>
    </xf>
    <xf numFmtId="3" fontId="39" fillId="0" borderId="60" xfId="112" applyNumberFormat="1" applyFont="1" applyBorder="1">
      <alignment/>
      <protection/>
    </xf>
    <xf numFmtId="0" fontId="22" fillId="0" borderId="53" xfId="112" applyFont="1" applyBorder="1">
      <alignment/>
      <protection/>
    </xf>
    <xf numFmtId="3" fontId="38" fillId="0" borderId="46" xfId="112" applyNumberFormat="1" applyFont="1" applyBorder="1">
      <alignment/>
      <protection/>
    </xf>
    <xf numFmtId="3" fontId="38" fillId="0" borderId="37" xfId="112" applyNumberFormat="1" applyFont="1" applyBorder="1">
      <alignment/>
      <protection/>
    </xf>
    <xf numFmtId="3" fontId="40" fillId="0" borderId="37" xfId="112" applyNumberFormat="1" applyFont="1" applyBorder="1">
      <alignment/>
      <protection/>
    </xf>
    <xf numFmtId="3" fontId="38" fillId="0" borderId="50" xfId="112" applyNumberFormat="1" applyFont="1" applyBorder="1">
      <alignment/>
      <protection/>
    </xf>
    <xf numFmtId="0" fontId="38" fillId="0" borderId="46" xfId="112" applyFont="1" applyBorder="1" applyAlignment="1">
      <alignment wrapText="1"/>
      <protection/>
    </xf>
    <xf numFmtId="0" fontId="38" fillId="0" borderId="47" xfId="112" applyFont="1" applyBorder="1" applyAlignment="1">
      <alignment wrapText="1"/>
      <protection/>
    </xf>
    <xf numFmtId="0" fontId="38" fillId="0" borderId="37" xfId="112" applyFont="1" applyBorder="1" applyAlignment="1">
      <alignment wrapText="1"/>
      <protection/>
    </xf>
    <xf numFmtId="0" fontId="38" fillId="0" borderId="37" xfId="112" applyFont="1" applyBorder="1" applyAlignment="1">
      <alignment horizontal="left" wrapText="1"/>
      <protection/>
    </xf>
    <xf numFmtId="0" fontId="39" fillId="0" borderId="37" xfId="112" applyFont="1" applyBorder="1" applyAlignment="1">
      <alignment wrapText="1"/>
      <protection/>
    </xf>
    <xf numFmtId="0" fontId="40" fillId="0" borderId="15" xfId="0" applyFont="1" applyBorder="1" applyAlignment="1">
      <alignment wrapText="1"/>
    </xf>
    <xf numFmtId="0" fontId="40" fillId="0" borderId="37" xfId="112" applyFont="1" applyBorder="1" applyAlignment="1">
      <alignment wrapText="1"/>
      <protection/>
    </xf>
    <xf numFmtId="0" fontId="40" fillId="0" borderId="52" xfId="112" applyFont="1" applyBorder="1" applyAlignment="1">
      <alignment wrapText="1"/>
      <protection/>
    </xf>
    <xf numFmtId="0" fontId="36" fillId="0" borderId="32" xfId="0" applyFont="1" applyBorder="1" applyAlignment="1">
      <alignment wrapText="1"/>
    </xf>
    <xf numFmtId="3" fontId="40" fillId="0" borderId="37" xfId="112" applyNumberFormat="1" applyFont="1" applyBorder="1" applyAlignment="1">
      <alignment wrapText="1"/>
      <protection/>
    </xf>
    <xf numFmtId="0" fontId="38" fillId="0" borderId="52" xfId="112" applyFont="1" applyBorder="1" applyAlignment="1">
      <alignment wrapText="1"/>
      <protection/>
    </xf>
    <xf numFmtId="0" fontId="38" fillId="0" borderId="36" xfId="112" applyFont="1" applyBorder="1" applyAlignment="1">
      <alignment horizontal="center"/>
      <protection/>
    </xf>
    <xf numFmtId="3" fontId="57" fillId="0" borderId="16" xfId="0" applyNumberFormat="1" applyFont="1" applyBorder="1" applyAlignment="1">
      <alignment horizontal="left" wrapText="1"/>
    </xf>
    <xf numFmtId="0" fontId="28" fillId="0" borderId="18" xfId="111" applyFont="1" applyFill="1" applyBorder="1">
      <alignment/>
      <protection/>
    </xf>
    <xf numFmtId="0" fontId="28" fillId="0" borderId="19" xfId="111" applyFont="1" applyFill="1" applyBorder="1">
      <alignment/>
      <protection/>
    </xf>
    <xf numFmtId="0" fontId="25" fillId="0" borderId="20" xfId="108" applyBorder="1">
      <alignment/>
      <protection/>
    </xf>
    <xf numFmtId="0" fontId="26" fillId="0" borderId="20" xfId="108" applyFont="1" applyBorder="1">
      <alignment/>
      <protection/>
    </xf>
    <xf numFmtId="0" fontId="27" fillId="0" borderId="20" xfId="108" applyFont="1" applyBorder="1">
      <alignment/>
      <protection/>
    </xf>
    <xf numFmtId="0" fontId="28" fillId="0" borderId="19" xfId="109" applyFont="1" applyBorder="1">
      <alignment/>
      <protection/>
    </xf>
    <xf numFmtId="0" fontId="30" fillId="0" borderId="16" xfId="109" applyFont="1" applyBorder="1">
      <alignment/>
      <protection/>
    </xf>
    <xf numFmtId="3" fontId="48" fillId="0" borderId="61" xfId="115" applyNumberFormat="1" applyFont="1" applyBorder="1" applyAlignment="1">
      <alignment vertical="center" wrapText="1"/>
      <protection/>
    </xf>
    <xf numFmtId="3" fontId="46" fillId="0" borderId="62" xfId="115" applyNumberFormat="1" applyFont="1" applyBorder="1" applyAlignment="1">
      <alignment vertical="center"/>
      <protection/>
    </xf>
    <xf numFmtId="3" fontId="48" fillId="0" borderId="63" xfId="115" applyNumberFormat="1" applyFont="1" applyBorder="1" applyAlignment="1">
      <alignment vertical="center"/>
      <protection/>
    </xf>
    <xf numFmtId="3" fontId="46" fillId="0" borderId="63" xfId="115" applyNumberFormat="1" applyFont="1" applyBorder="1" applyAlignment="1">
      <alignment vertical="center"/>
      <protection/>
    </xf>
    <xf numFmtId="3" fontId="45" fillId="0" borderId="64" xfId="115" applyNumberFormat="1" applyFont="1" applyBorder="1" applyAlignment="1">
      <alignment vertical="center"/>
      <protection/>
    </xf>
    <xf numFmtId="0" fontId="46" fillId="0" borderId="16" xfId="115" applyFont="1" applyBorder="1" applyAlignment="1">
      <alignment vertical="center"/>
      <protection/>
    </xf>
    <xf numFmtId="0" fontId="46" fillId="0" borderId="15" xfId="115" applyFont="1" applyBorder="1" applyAlignment="1">
      <alignment vertical="center"/>
      <protection/>
    </xf>
    <xf numFmtId="0" fontId="46" fillId="0" borderId="20" xfId="115" applyFont="1" applyBorder="1" applyAlignment="1">
      <alignment vertical="center"/>
      <protection/>
    </xf>
    <xf numFmtId="3" fontId="45" fillId="0" borderId="65" xfId="115" applyNumberFormat="1" applyFont="1" applyBorder="1" applyAlignment="1">
      <alignment vertical="center"/>
      <protection/>
    </xf>
    <xf numFmtId="3" fontId="48" fillId="0" borderId="62" xfId="115" applyNumberFormat="1" applyFont="1" applyBorder="1" applyAlignment="1">
      <alignment vertical="center"/>
      <protection/>
    </xf>
    <xf numFmtId="3" fontId="45" fillId="0" borderId="62" xfId="115" applyNumberFormat="1" applyFont="1" applyBorder="1" applyAlignment="1">
      <alignment vertical="center"/>
      <protection/>
    </xf>
    <xf numFmtId="3" fontId="48" fillId="0" borderId="62" xfId="116" applyNumberFormat="1" applyFont="1" applyBorder="1" applyAlignment="1">
      <alignment vertical="center"/>
      <protection/>
    </xf>
    <xf numFmtId="3" fontId="46" fillId="0" borderId="62" xfId="116" applyNumberFormat="1" applyFont="1" applyBorder="1" applyAlignment="1">
      <alignment vertical="center"/>
      <protection/>
    </xf>
    <xf numFmtId="3" fontId="45" fillId="0" borderId="28" xfId="115" applyNumberFormat="1" applyFont="1" applyBorder="1" applyAlignment="1">
      <alignment horizontal="center" vertical="center" wrapText="1"/>
      <protection/>
    </xf>
    <xf numFmtId="3" fontId="45" fillId="0" borderId="66" xfId="115" applyNumberFormat="1" applyFont="1" applyBorder="1" applyAlignment="1">
      <alignment horizontal="center" vertical="center" wrapText="1"/>
      <protection/>
    </xf>
    <xf numFmtId="0" fontId="46" fillId="0" borderId="13" xfId="115" applyFont="1" applyBorder="1" applyAlignment="1">
      <alignment vertical="center"/>
      <protection/>
    </xf>
    <xf numFmtId="0" fontId="46" fillId="0" borderId="14" xfId="115" applyFont="1" applyBorder="1" applyAlignment="1">
      <alignment vertical="center"/>
      <protection/>
    </xf>
    <xf numFmtId="0" fontId="46" fillId="0" borderId="30" xfId="115" applyFont="1" applyBorder="1" applyAlignment="1">
      <alignment vertical="center"/>
      <protection/>
    </xf>
    <xf numFmtId="49" fontId="22" fillId="0" borderId="15" xfId="0" applyNumberFormat="1" applyFont="1" applyBorder="1" applyAlignment="1">
      <alignment vertical="top" wrapText="1"/>
    </xf>
    <xf numFmtId="0" fontId="59" fillId="0" borderId="15" xfId="108" applyFont="1" applyBorder="1" applyAlignment="1">
      <alignment wrapText="1"/>
      <protection/>
    </xf>
    <xf numFmtId="3" fontId="59" fillId="0" borderId="16" xfId="108" applyNumberFormat="1" applyFont="1" applyBorder="1">
      <alignment/>
      <protection/>
    </xf>
    <xf numFmtId="0" fontId="30" fillId="0" borderId="20" xfId="109" applyFont="1" applyBorder="1">
      <alignment/>
      <protection/>
    </xf>
    <xf numFmtId="0" fontId="28" fillId="0" borderId="16" xfId="109" applyFont="1" applyBorder="1">
      <alignment/>
      <protection/>
    </xf>
    <xf numFmtId="3" fontId="30" fillId="0" borderId="20" xfId="109" applyNumberFormat="1" applyFont="1" applyBorder="1">
      <alignment/>
      <protection/>
    </xf>
    <xf numFmtId="0" fontId="28" fillId="0" borderId="17" xfId="109" applyFont="1" applyBorder="1">
      <alignment/>
      <protection/>
    </xf>
    <xf numFmtId="0" fontId="28" fillId="0" borderId="18" xfId="109" applyFont="1" applyBorder="1">
      <alignment/>
      <protection/>
    </xf>
    <xf numFmtId="0" fontId="28" fillId="0" borderId="0" xfId="108" applyFont="1" applyBorder="1">
      <alignment/>
      <protection/>
    </xf>
    <xf numFmtId="3" fontId="48" fillId="0" borderId="14" xfId="115" applyNumberFormat="1" applyFont="1" applyBorder="1" applyAlignment="1">
      <alignment vertical="center" wrapText="1"/>
      <protection/>
    </xf>
    <xf numFmtId="0" fontId="64" fillId="0" borderId="0" xfId="0" applyFont="1" applyBorder="1" applyAlignment="1">
      <alignment/>
    </xf>
    <xf numFmtId="0" fontId="64" fillId="0" borderId="52" xfId="0" applyFont="1" applyBorder="1" applyAlignment="1">
      <alignment/>
    </xf>
    <xf numFmtId="0" fontId="64" fillId="0" borderId="0" xfId="0" applyFont="1" applyAlignment="1">
      <alignment/>
    </xf>
    <xf numFmtId="0" fontId="64" fillId="0" borderId="21" xfId="0" applyFont="1" applyBorder="1" applyAlignment="1">
      <alignment/>
    </xf>
    <xf numFmtId="0" fontId="64" fillId="0" borderId="65" xfId="0" applyFont="1" applyBorder="1" applyAlignment="1">
      <alignment/>
    </xf>
    <xf numFmtId="3" fontId="65" fillId="0" borderId="16" xfId="0" applyNumberFormat="1" applyFont="1" applyBorder="1" applyAlignment="1">
      <alignment horizontal="center" vertical="center" wrapText="1"/>
    </xf>
    <xf numFmtId="3" fontId="65" fillId="0" borderId="62" xfId="0" applyNumberFormat="1" applyFont="1" applyBorder="1" applyAlignment="1">
      <alignment horizontal="center" vertical="center" wrapText="1"/>
    </xf>
    <xf numFmtId="0" fontId="65" fillId="0" borderId="52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3" fontId="64" fillId="0" borderId="16" xfId="0" applyNumberFormat="1" applyFont="1" applyBorder="1" applyAlignment="1">
      <alignment wrapText="1"/>
    </xf>
    <xf numFmtId="0" fontId="67" fillId="0" borderId="52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65" fillId="0" borderId="50" xfId="0" applyFont="1" applyBorder="1" applyAlignment="1">
      <alignment/>
    </xf>
    <xf numFmtId="0" fontId="65" fillId="0" borderId="67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4" fillId="0" borderId="0" xfId="0" applyFont="1" applyBorder="1" applyAlignment="1">
      <alignment wrapText="1"/>
    </xf>
    <xf numFmtId="0" fontId="64" fillId="0" borderId="0" xfId="0" applyFont="1" applyAlignment="1">
      <alignment wrapText="1"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3" fontId="47" fillId="0" borderId="16" xfId="0" applyNumberFormat="1" applyFont="1" applyBorder="1" applyAlignment="1">
      <alignment/>
    </xf>
    <xf numFmtId="3" fontId="69" fillId="0" borderId="16" xfId="0" applyNumberFormat="1" applyFont="1" applyBorder="1" applyAlignment="1">
      <alignment/>
    </xf>
    <xf numFmtId="3" fontId="30" fillId="0" borderId="20" xfId="109" applyNumberFormat="1" applyFont="1" applyBorder="1" applyAlignment="1">
      <alignment horizontal="right" vertical="center"/>
      <protection/>
    </xf>
    <xf numFmtId="3" fontId="28" fillId="0" borderId="20" xfId="109" applyNumberFormat="1" applyFont="1" applyBorder="1" applyAlignment="1">
      <alignment horizontal="right" vertical="center"/>
      <protection/>
    </xf>
    <xf numFmtId="3" fontId="30" fillId="0" borderId="19" xfId="109" applyNumberFormat="1" applyFont="1" applyBorder="1" applyAlignment="1">
      <alignment horizontal="right" vertical="center"/>
      <protection/>
    </xf>
    <xf numFmtId="0" fontId="30" fillId="0" borderId="13" xfId="109" applyFont="1" applyBorder="1" applyAlignment="1">
      <alignment wrapText="1"/>
      <protection/>
    </xf>
    <xf numFmtId="0" fontId="30" fillId="0" borderId="14" xfId="109" applyFont="1" applyBorder="1" applyAlignment="1">
      <alignment horizontal="center" wrapText="1"/>
      <protection/>
    </xf>
    <xf numFmtId="0" fontId="30" fillId="0" borderId="14" xfId="109" applyFont="1" applyBorder="1" applyAlignment="1">
      <alignment wrapText="1"/>
      <protection/>
    </xf>
    <xf numFmtId="0" fontId="30" fillId="0" borderId="30" xfId="109" applyFont="1" applyBorder="1" applyAlignment="1">
      <alignment horizontal="center" wrapText="1"/>
      <protection/>
    </xf>
    <xf numFmtId="3" fontId="30" fillId="0" borderId="19" xfId="109" applyNumberFormat="1" applyFont="1" applyBorder="1">
      <alignment/>
      <protection/>
    </xf>
    <xf numFmtId="3" fontId="65" fillId="0" borderId="20" xfId="0" applyNumberFormat="1" applyFont="1" applyBorder="1" applyAlignment="1">
      <alignment horizontal="center" vertical="center" wrapText="1"/>
    </xf>
    <xf numFmtId="3" fontId="39" fillId="0" borderId="47" xfId="112" applyNumberFormat="1" applyFont="1" applyBorder="1">
      <alignment/>
      <protection/>
    </xf>
    <xf numFmtId="3" fontId="39" fillId="0" borderId="62" xfId="112" applyNumberFormat="1" applyFont="1" applyBorder="1">
      <alignment/>
      <protection/>
    </xf>
    <xf numFmtId="0" fontId="38" fillId="0" borderId="68" xfId="112" applyFont="1" applyBorder="1" applyAlignment="1">
      <alignment horizontal="left" wrapText="1"/>
      <protection/>
    </xf>
    <xf numFmtId="0" fontId="38" fillId="0" borderId="58" xfId="112" applyFont="1" applyBorder="1" applyAlignment="1">
      <alignment wrapText="1"/>
      <protection/>
    </xf>
    <xf numFmtId="0" fontId="39" fillId="0" borderId="58" xfId="112" applyFont="1" applyBorder="1" applyAlignment="1">
      <alignment wrapText="1"/>
      <protection/>
    </xf>
    <xf numFmtId="0" fontId="39" fillId="0" borderId="58" xfId="118" applyFont="1" applyBorder="1" applyAlignment="1">
      <alignment wrapText="1"/>
      <protection/>
    </xf>
    <xf numFmtId="0" fontId="41" fillId="0" borderId="58" xfId="114" applyFont="1" applyBorder="1" applyAlignment="1">
      <alignment wrapText="1"/>
      <protection/>
    </xf>
    <xf numFmtId="49" fontId="46" fillId="0" borderId="58" xfId="114" applyNumberFormat="1" applyFont="1" applyBorder="1" applyAlignment="1">
      <alignment wrapText="1"/>
      <protection/>
    </xf>
    <xf numFmtId="49" fontId="41" fillId="0" borderId="58" xfId="114" applyNumberFormat="1" applyFont="1" applyBorder="1" applyAlignment="1">
      <alignment wrapText="1"/>
      <protection/>
    </xf>
    <xf numFmtId="0" fontId="39" fillId="0" borderId="58" xfId="118" applyFont="1" applyBorder="1" applyAlignment="1">
      <alignment wrapText="1" shrinkToFit="1"/>
      <protection/>
    </xf>
    <xf numFmtId="0" fontId="40" fillId="0" borderId="58" xfId="118" applyFont="1" applyBorder="1" applyAlignment="1">
      <alignment wrapText="1" shrinkToFit="1"/>
      <protection/>
    </xf>
    <xf numFmtId="49" fontId="39" fillId="0" borderId="58" xfId="112" applyNumberFormat="1" applyFont="1" applyBorder="1" applyAlignment="1">
      <alignment wrapText="1"/>
      <protection/>
    </xf>
    <xf numFmtId="0" fontId="38" fillId="0" borderId="58" xfId="112" applyFont="1" applyBorder="1" applyAlignment="1">
      <alignment wrapText="1"/>
      <protection/>
    </xf>
    <xf numFmtId="0" fontId="35" fillId="0" borderId="58" xfId="0" applyFont="1" applyBorder="1" applyAlignment="1">
      <alignment/>
    </xf>
    <xf numFmtId="0" fontId="38" fillId="0" borderId="69" xfId="118" applyFont="1" applyBorder="1" applyAlignment="1">
      <alignment wrapText="1"/>
      <protection/>
    </xf>
    <xf numFmtId="0" fontId="38" fillId="0" borderId="70" xfId="112" applyFont="1" applyBorder="1" applyAlignment="1">
      <alignment horizontal="center" wrapText="1"/>
      <protection/>
    </xf>
    <xf numFmtId="0" fontId="20" fillId="0" borderId="32" xfId="112" applyFont="1" applyBorder="1">
      <alignment/>
      <protection/>
    </xf>
    <xf numFmtId="0" fontId="22" fillId="0" borderId="71" xfId="112" applyFont="1" applyBorder="1">
      <alignment/>
      <protection/>
    </xf>
    <xf numFmtId="3" fontId="20" fillId="0" borderId="72" xfId="112" applyNumberFormat="1" applyFont="1" applyBorder="1">
      <alignment/>
      <protection/>
    </xf>
    <xf numFmtId="3" fontId="22" fillId="0" borderId="37" xfId="112" applyNumberFormat="1" applyFont="1" applyBorder="1">
      <alignment/>
      <protection/>
    </xf>
    <xf numFmtId="0" fontId="22" fillId="0" borderId="38" xfId="112" applyFont="1" applyBorder="1">
      <alignment/>
      <protection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3" fontId="58" fillId="0" borderId="16" xfId="108" applyNumberFormat="1" applyFont="1" applyBorder="1">
      <alignment/>
      <protection/>
    </xf>
    <xf numFmtId="0" fontId="30" fillId="0" borderId="13" xfId="109" applyFont="1" applyBorder="1">
      <alignment/>
      <protection/>
    </xf>
    <xf numFmtId="0" fontId="30" fillId="0" borderId="14" xfId="109" applyFont="1" applyBorder="1">
      <alignment/>
      <protection/>
    </xf>
    <xf numFmtId="0" fontId="45" fillId="0" borderId="14" xfId="115" applyFont="1" applyBorder="1" applyAlignment="1">
      <alignment horizontal="center"/>
      <protection/>
    </xf>
    <xf numFmtId="3" fontId="28" fillId="0" borderId="20" xfId="108" applyNumberFormat="1" applyFont="1" applyBorder="1">
      <alignment/>
      <protection/>
    </xf>
    <xf numFmtId="3" fontId="28" fillId="0" borderId="0" xfId="108" applyNumberFormat="1" applyFont="1">
      <alignment/>
      <protection/>
    </xf>
    <xf numFmtId="3" fontId="30" fillId="0" borderId="20" xfId="108" applyNumberFormat="1" applyFont="1" applyBorder="1">
      <alignment/>
      <protection/>
    </xf>
    <xf numFmtId="3" fontId="29" fillId="0" borderId="20" xfId="108" applyNumberFormat="1" applyFont="1" applyBorder="1">
      <alignment/>
      <protection/>
    </xf>
    <xf numFmtId="3" fontId="34" fillId="0" borderId="20" xfId="108" applyNumberFormat="1" applyFont="1" applyBorder="1">
      <alignment/>
      <protection/>
    </xf>
    <xf numFmtId="3" fontId="30" fillId="0" borderId="20" xfId="108" applyNumberFormat="1" applyFont="1" applyFill="1" applyBorder="1">
      <alignment/>
      <protection/>
    </xf>
    <xf numFmtId="3" fontId="30" fillId="0" borderId="19" xfId="108" applyNumberFormat="1" applyFont="1" applyBorder="1">
      <alignment/>
      <protection/>
    </xf>
    <xf numFmtId="0" fontId="28" fillId="0" borderId="13" xfId="0" applyFont="1" applyBorder="1" applyAlignment="1">
      <alignment horizontal="justify" vertical="top" wrapText="1"/>
    </xf>
    <xf numFmtId="2" fontId="28" fillId="0" borderId="14" xfId="0" applyNumberFormat="1" applyFont="1" applyBorder="1" applyAlignment="1">
      <alignment horizontal="center" vertical="top" wrapText="1"/>
    </xf>
    <xf numFmtId="2" fontId="28" fillId="0" borderId="30" xfId="0" applyNumberFormat="1" applyFont="1" applyBorder="1" applyAlignment="1">
      <alignment horizontal="center" vertical="top" wrapText="1"/>
    </xf>
    <xf numFmtId="2" fontId="43" fillId="0" borderId="20" xfId="0" applyNumberFormat="1" applyFont="1" applyBorder="1" applyAlignment="1">
      <alignment horizontal="center" vertical="top" wrapText="1"/>
    </xf>
    <xf numFmtId="2" fontId="34" fillId="0" borderId="20" xfId="0" applyNumberFormat="1" applyFont="1" applyBorder="1" applyAlignment="1">
      <alignment horizontal="center" vertical="top" wrapText="1"/>
    </xf>
    <xf numFmtId="2" fontId="30" fillId="0" borderId="20" xfId="0" applyNumberFormat="1" applyFont="1" applyBorder="1" applyAlignment="1">
      <alignment horizontal="center" vertical="top" wrapText="1"/>
    </xf>
    <xf numFmtId="2" fontId="28" fillId="0" borderId="20" xfId="0" applyNumberFormat="1" applyFont="1" applyBorder="1" applyAlignment="1">
      <alignment horizontal="center"/>
    </xf>
    <xf numFmtId="2" fontId="30" fillId="0" borderId="20" xfId="0" applyNumberFormat="1" applyFont="1" applyBorder="1" applyAlignment="1">
      <alignment horizontal="center" vertical="top" wrapText="1"/>
    </xf>
    <xf numFmtId="2" fontId="30" fillId="0" borderId="19" xfId="0" applyNumberFormat="1" applyFont="1" applyBorder="1" applyAlignment="1">
      <alignment horizontal="center" vertical="top" wrapText="1"/>
    </xf>
    <xf numFmtId="49" fontId="25" fillId="52" borderId="0" xfId="108" applyNumberFormat="1" applyFill="1" applyAlignment="1">
      <alignment vertical="center"/>
      <protection/>
    </xf>
    <xf numFmtId="0" fontId="25" fillId="52" borderId="0" xfId="108" applyFill="1" applyAlignment="1">
      <alignment vertical="center"/>
      <protection/>
    </xf>
    <xf numFmtId="0" fontId="25" fillId="52" borderId="0" xfId="108" applyFill="1" applyAlignment="1">
      <alignment vertical="center" wrapText="1"/>
      <protection/>
    </xf>
    <xf numFmtId="3" fontId="25" fillId="52" borderId="0" xfId="108" applyNumberFormat="1" applyFill="1" applyAlignment="1">
      <alignment vertical="center"/>
      <protection/>
    </xf>
    <xf numFmtId="0" fontId="28" fillId="52" borderId="0" xfId="108" applyFont="1" applyFill="1" applyAlignment="1">
      <alignment vertical="center"/>
      <protection/>
    </xf>
    <xf numFmtId="49" fontId="27" fillId="52" borderId="0" xfId="108" applyNumberFormat="1" applyFont="1" applyFill="1" applyAlignment="1">
      <alignment vertical="center"/>
      <protection/>
    </xf>
    <xf numFmtId="0" fontId="30" fillId="52" borderId="13" xfId="108" applyFont="1" applyFill="1" applyBorder="1" applyAlignment="1">
      <alignment vertical="center" wrapText="1"/>
      <protection/>
    </xf>
    <xf numFmtId="3" fontId="30" fillId="52" borderId="14" xfId="108" applyNumberFormat="1" applyFont="1" applyFill="1" applyBorder="1" applyAlignment="1">
      <alignment horizontal="center" vertical="center"/>
      <protection/>
    </xf>
    <xf numFmtId="0" fontId="56" fillId="52" borderId="14" xfId="108" applyFont="1" applyFill="1" applyBorder="1" applyAlignment="1">
      <alignment vertical="center"/>
      <protection/>
    </xf>
    <xf numFmtId="0" fontId="27" fillId="52" borderId="14" xfId="108" applyFont="1" applyFill="1" applyBorder="1" applyAlignment="1">
      <alignment vertical="center"/>
      <protection/>
    </xf>
    <xf numFmtId="3" fontId="30" fillId="52" borderId="14" xfId="108" applyNumberFormat="1" applyFont="1" applyFill="1" applyBorder="1" applyAlignment="1">
      <alignment horizontal="center" vertical="center" wrapText="1"/>
      <protection/>
    </xf>
    <xf numFmtId="3" fontId="49" fillId="52" borderId="14" xfId="0" applyNumberFormat="1" applyFont="1" applyFill="1" applyBorder="1" applyAlignment="1">
      <alignment horizontal="center" vertical="center" wrapText="1"/>
    </xf>
    <xf numFmtId="3" fontId="49" fillId="52" borderId="30" xfId="0" applyNumberFormat="1" applyFont="1" applyFill="1" applyBorder="1" applyAlignment="1">
      <alignment horizontal="center" vertical="center" wrapText="1"/>
    </xf>
    <xf numFmtId="0" fontId="28" fillId="52" borderId="15" xfId="108" applyFont="1" applyFill="1" applyBorder="1" applyAlignment="1">
      <alignment vertical="center" wrapText="1"/>
      <protection/>
    </xf>
    <xf numFmtId="3" fontId="28" fillId="52" borderId="16" xfId="108" applyNumberFormat="1" applyFont="1" applyFill="1" applyBorder="1" applyAlignment="1">
      <alignment vertical="center"/>
      <protection/>
    </xf>
    <xf numFmtId="0" fontId="25" fillId="52" borderId="16" xfId="108" applyFill="1" applyBorder="1" applyAlignment="1">
      <alignment vertical="center"/>
      <protection/>
    </xf>
    <xf numFmtId="0" fontId="28" fillId="52" borderId="16" xfId="108" applyFont="1" applyFill="1" applyBorder="1" applyAlignment="1">
      <alignment vertical="center"/>
      <protection/>
    </xf>
    <xf numFmtId="0" fontId="30" fillId="52" borderId="15" xfId="108" applyFont="1" applyFill="1" applyBorder="1" applyAlignment="1">
      <alignment vertical="center" wrapText="1"/>
      <protection/>
    </xf>
    <xf numFmtId="3" fontId="30" fillId="52" borderId="16" xfId="108" applyNumberFormat="1" applyFont="1" applyFill="1" applyBorder="1" applyAlignment="1">
      <alignment vertical="center"/>
      <protection/>
    </xf>
    <xf numFmtId="3" fontId="30" fillId="52" borderId="20" xfId="108" applyNumberFormat="1" applyFont="1" applyFill="1" applyBorder="1" applyAlignment="1">
      <alignment vertical="center"/>
      <protection/>
    </xf>
    <xf numFmtId="3" fontId="25" fillId="52" borderId="16" xfId="108" applyNumberFormat="1" applyFont="1" applyFill="1" applyBorder="1" applyAlignment="1">
      <alignment vertical="center"/>
      <protection/>
    </xf>
    <xf numFmtId="49" fontId="25" fillId="52" borderId="0" xfId="108" applyNumberFormat="1" applyFont="1" applyFill="1" applyAlignment="1">
      <alignment vertical="center"/>
      <protection/>
    </xf>
    <xf numFmtId="0" fontId="25" fillId="52" borderId="16" xfId="108" applyFont="1" applyFill="1" applyBorder="1" applyAlignment="1">
      <alignment vertical="center"/>
      <protection/>
    </xf>
    <xf numFmtId="0" fontId="34" fillId="52" borderId="15" xfId="108" applyFont="1" applyFill="1" applyBorder="1" applyAlignment="1">
      <alignment vertical="center" wrapText="1"/>
      <protection/>
    </xf>
    <xf numFmtId="3" fontId="34" fillId="52" borderId="16" xfId="108" applyNumberFormat="1" applyFont="1" applyFill="1" applyBorder="1" applyAlignment="1">
      <alignment vertical="center"/>
      <protection/>
    </xf>
    <xf numFmtId="3" fontId="34" fillId="52" borderId="20" xfId="108" applyNumberFormat="1" applyFont="1" applyFill="1" applyBorder="1" applyAlignment="1">
      <alignment vertical="center"/>
      <protection/>
    </xf>
    <xf numFmtId="49" fontId="33" fillId="52" borderId="0" xfId="108" applyNumberFormat="1" applyFont="1" applyFill="1" applyAlignment="1">
      <alignment vertical="center"/>
      <protection/>
    </xf>
    <xf numFmtId="49" fontId="26" fillId="52" borderId="0" xfId="108" applyNumberFormat="1" applyFont="1" applyFill="1" applyAlignment="1">
      <alignment vertical="center"/>
      <protection/>
    </xf>
    <xf numFmtId="49" fontId="28" fillId="52" borderId="0" xfId="108" applyNumberFormat="1" applyFont="1" applyFill="1" applyAlignment="1">
      <alignment vertical="center"/>
      <protection/>
    </xf>
    <xf numFmtId="0" fontId="27" fillId="52" borderId="16" xfId="108" applyFont="1" applyFill="1" applyBorder="1" applyAlignment="1">
      <alignment vertical="center"/>
      <protection/>
    </xf>
    <xf numFmtId="0" fontId="30" fillId="52" borderId="16" xfId="108" applyFont="1" applyFill="1" applyBorder="1" applyAlignment="1">
      <alignment vertical="center"/>
      <protection/>
    </xf>
    <xf numFmtId="0" fontId="29" fillId="52" borderId="17" xfId="108" applyFont="1" applyFill="1" applyBorder="1" applyAlignment="1">
      <alignment vertical="center" wrapText="1"/>
      <protection/>
    </xf>
    <xf numFmtId="3" fontId="30" fillId="52" borderId="18" xfId="108" applyNumberFormat="1" applyFont="1" applyFill="1" applyBorder="1" applyAlignment="1">
      <alignment vertical="center"/>
      <protection/>
    </xf>
    <xf numFmtId="3" fontId="30" fillId="52" borderId="18" xfId="108" applyNumberFormat="1" applyFont="1" applyFill="1" applyBorder="1" applyAlignment="1">
      <alignment vertical="center"/>
      <protection/>
    </xf>
    <xf numFmtId="3" fontId="30" fillId="52" borderId="19" xfId="108" applyNumberFormat="1" applyFont="1" applyFill="1" applyBorder="1" applyAlignment="1">
      <alignment vertical="center"/>
      <protection/>
    </xf>
    <xf numFmtId="3" fontId="28" fillId="52" borderId="0" xfId="108" applyNumberFormat="1" applyFont="1" applyFill="1" applyAlignment="1">
      <alignment vertical="center"/>
      <protection/>
    </xf>
    <xf numFmtId="3" fontId="48" fillId="0" borderId="30" xfId="115" applyNumberFormat="1" applyFont="1" applyBorder="1" applyAlignment="1">
      <alignment vertical="center" wrapText="1"/>
      <protection/>
    </xf>
    <xf numFmtId="0" fontId="69" fillId="0" borderId="0" xfId="0" applyFont="1" applyFill="1" applyAlignment="1">
      <alignment/>
    </xf>
    <xf numFmtId="0" fontId="1" fillId="0" borderId="0" xfId="102">
      <alignment/>
      <protection/>
    </xf>
    <xf numFmtId="0" fontId="35" fillId="0" borderId="0" xfId="102" applyFont="1" applyFill="1" applyBorder="1" applyAlignment="1">
      <alignment horizontal="center"/>
      <protection/>
    </xf>
    <xf numFmtId="49" fontId="35" fillId="0" borderId="0" xfId="102" applyNumberFormat="1" applyFont="1" applyFill="1" applyBorder="1" applyAlignment="1">
      <alignment horizontal="center"/>
      <protection/>
    </xf>
    <xf numFmtId="0" fontId="60" fillId="0" borderId="0" xfId="102" applyFont="1" applyFill="1" applyBorder="1" applyAlignment="1">
      <alignment horizontal="center"/>
      <protection/>
    </xf>
    <xf numFmtId="3" fontId="60" fillId="0" borderId="0" xfId="102" applyNumberFormat="1" applyFont="1" applyFill="1" applyBorder="1" applyAlignment="1">
      <alignment horizontal="center"/>
      <protection/>
    </xf>
    <xf numFmtId="3" fontId="0" fillId="0" borderId="0" xfId="102" applyNumberFormat="1" applyFont="1" applyFill="1" applyBorder="1" applyAlignment="1">
      <alignment horizontal="center"/>
      <protection/>
    </xf>
    <xf numFmtId="2" fontId="21" fillId="0" borderId="73" xfId="102" applyNumberFormat="1" applyFont="1" applyFill="1" applyBorder="1">
      <alignment/>
      <protection/>
    </xf>
    <xf numFmtId="3" fontId="21" fillId="0" borderId="73" xfId="102" applyNumberFormat="1" applyFont="1" applyFill="1" applyBorder="1" applyAlignment="1">
      <alignment horizontal="center"/>
      <protection/>
    </xf>
    <xf numFmtId="3" fontId="21" fillId="0" borderId="73" xfId="102" applyNumberFormat="1" applyFont="1" applyFill="1" applyBorder="1" applyAlignment="1">
      <alignment horizontal="right"/>
      <protection/>
    </xf>
    <xf numFmtId="172" fontId="21" fillId="0" borderId="73" xfId="102" applyNumberFormat="1" applyFont="1" applyFill="1" applyBorder="1" applyAlignment="1">
      <alignment horizontal="right"/>
      <protection/>
    </xf>
    <xf numFmtId="0" fontId="31" fillId="0" borderId="73" xfId="102" applyFont="1" applyFill="1" applyBorder="1">
      <alignment/>
      <protection/>
    </xf>
    <xf numFmtId="3" fontId="31" fillId="0" borderId="73" xfId="102" applyNumberFormat="1" applyFont="1" applyFill="1" applyBorder="1" applyAlignment="1">
      <alignment horizontal="center"/>
      <protection/>
    </xf>
    <xf numFmtId="3" fontId="31" fillId="0" borderId="73" xfId="102" applyNumberFormat="1" applyFont="1" applyFill="1" applyBorder="1" applyAlignment="1">
      <alignment horizontal="right"/>
      <protection/>
    </xf>
    <xf numFmtId="0" fontId="36" fillId="0" borderId="73" xfId="102" applyFont="1" applyFill="1" applyBorder="1">
      <alignment/>
      <protection/>
    </xf>
    <xf numFmtId="3" fontId="36" fillId="0" borderId="73" xfId="102" applyNumberFormat="1" applyFont="1" applyFill="1" applyBorder="1" applyAlignment="1">
      <alignment horizontal="right"/>
      <protection/>
    </xf>
    <xf numFmtId="3" fontId="21" fillId="0" borderId="73" xfId="102" applyNumberFormat="1" applyFont="1" applyFill="1" applyBorder="1">
      <alignment/>
      <protection/>
    </xf>
    <xf numFmtId="0" fontId="21" fillId="0" borderId="73" xfId="102" applyFont="1" applyFill="1" applyBorder="1">
      <alignment/>
      <protection/>
    </xf>
    <xf numFmtId="49" fontId="31" fillId="0" borderId="73" xfId="102" applyNumberFormat="1" applyFont="1" applyFill="1" applyBorder="1" applyAlignment="1">
      <alignment horizontal="right"/>
      <protection/>
    </xf>
    <xf numFmtId="0" fontId="35" fillId="0" borderId="73" xfId="102" applyFont="1" applyFill="1" applyBorder="1" applyAlignment="1">
      <alignment/>
      <protection/>
    </xf>
    <xf numFmtId="3" fontId="35" fillId="0" borderId="73" xfId="102" applyNumberFormat="1" applyFont="1" applyFill="1" applyBorder="1" applyAlignment="1">
      <alignment horizontal="center"/>
      <protection/>
    </xf>
    <xf numFmtId="0" fontId="35" fillId="0" borderId="73" xfId="102" applyFont="1" applyFill="1" applyBorder="1" applyAlignment="1">
      <alignment horizontal="right" vertical="center" wrapText="1"/>
      <protection/>
    </xf>
    <xf numFmtId="3" fontId="31" fillId="0" borderId="73" xfId="102" applyNumberFormat="1" applyFont="1" applyFill="1" applyBorder="1">
      <alignment/>
      <protection/>
    </xf>
    <xf numFmtId="172" fontId="31" fillId="0" borderId="73" xfId="102" applyNumberFormat="1" applyFont="1" applyFill="1" applyBorder="1">
      <alignment/>
      <protection/>
    </xf>
    <xf numFmtId="0" fontId="21" fillId="0" borderId="73" xfId="102" applyFont="1" applyFill="1" applyBorder="1" applyAlignment="1">
      <alignment horizontal="right"/>
      <protection/>
    </xf>
    <xf numFmtId="170" fontId="21" fillId="0" borderId="73" xfId="102" applyNumberFormat="1" applyFont="1" applyFill="1" applyBorder="1" applyAlignment="1">
      <alignment horizontal="right"/>
      <protection/>
    </xf>
    <xf numFmtId="49" fontId="21" fillId="0" borderId="73" xfId="102" applyNumberFormat="1" applyFont="1" applyFill="1" applyBorder="1" applyAlignment="1">
      <alignment horizontal="right"/>
      <protection/>
    </xf>
    <xf numFmtId="3" fontId="31" fillId="0" borderId="73" xfId="102" applyNumberFormat="1" applyFont="1" applyFill="1" applyBorder="1" applyAlignment="1">
      <alignment horizontal="center" wrapText="1"/>
      <protection/>
    </xf>
    <xf numFmtId="0" fontId="1" fillId="0" borderId="0" xfId="102" applyFill="1">
      <alignment/>
      <protection/>
    </xf>
    <xf numFmtId="3" fontId="28" fillId="0" borderId="20" xfId="108" applyNumberFormat="1" applyFont="1" applyBorder="1" applyAlignment="1">
      <alignment/>
      <protection/>
    </xf>
    <xf numFmtId="3" fontId="30" fillId="0" borderId="20" xfId="108" applyNumberFormat="1" applyFont="1" applyBorder="1" applyAlignment="1">
      <alignment/>
      <protection/>
    </xf>
    <xf numFmtId="3" fontId="20" fillId="0" borderId="19" xfId="108" applyNumberFormat="1" applyFont="1" applyBorder="1">
      <alignment/>
      <protection/>
    </xf>
    <xf numFmtId="3" fontId="59" fillId="0" borderId="20" xfId="108" applyNumberFormat="1" applyFont="1" applyBorder="1">
      <alignment/>
      <protection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left"/>
    </xf>
    <xf numFmtId="3" fontId="38" fillId="0" borderId="74" xfId="112" applyNumberFormat="1" applyFont="1" applyBorder="1">
      <alignment/>
      <protection/>
    </xf>
    <xf numFmtId="3" fontId="38" fillId="0" borderId="75" xfId="112" applyNumberFormat="1" applyFont="1" applyBorder="1">
      <alignment/>
      <protection/>
    </xf>
    <xf numFmtId="3" fontId="38" fillId="0" borderId="25" xfId="112" applyNumberFormat="1" applyFont="1" applyBorder="1">
      <alignment/>
      <protection/>
    </xf>
    <xf numFmtId="3" fontId="38" fillId="0" borderId="24" xfId="112" applyNumberFormat="1" applyFont="1" applyBorder="1">
      <alignment/>
      <protection/>
    </xf>
    <xf numFmtId="3" fontId="40" fillId="0" borderId="24" xfId="112" applyNumberFormat="1" applyFont="1" applyBorder="1">
      <alignment/>
      <protection/>
    </xf>
    <xf numFmtId="3" fontId="20" fillId="0" borderId="39" xfId="112" applyNumberFormat="1" applyFont="1" applyBorder="1">
      <alignment/>
      <protection/>
    </xf>
    <xf numFmtId="3" fontId="22" fillId="0" borderId="24" xfId="112" applyNumberFormat="1" applyFont="1" applyBorder="1">
      <alignment/>
      <protection/>
    </xf>
    <xf numFmtId="3" fontId="46" fillId="0" borderId="25" xfId="114" applyNumberFormat="1" applyFont="1" applyBorder="1">
      <alignment/>
      <protection/>
    </xf>
    <xf numFmtId="3" fontId="28" fillId="0" borderId="0" xfId="0" applyNumberFormat="1" applyFont="1" applyAlignment="1">
      <alignment/>
    </xf>
    <xf numFmtId="3" fontId="28" fillId="0" borderId="20" xfId="0" applyNumberFormat="1" applyFont="1" applyBorder="1" applyAlignment="1">
      <alignment/>
    </xf>
    <xf numFmtId="3" fontId="30" fillId="0" borderId="20" xfId="0" applyNumberFormat="1" applyFont="1" applyBorder="1" applyAlignment="1">
      <alignment/>
    </xf>
    <xf numFmtId="3" fontId="28" fillId="0" borderId="19" xfId="0" applyNumberFormat="1" applyFont="1" applyBorder="1" applyAlignment="1">
      <alignment/>
    </xf>
    <xf numFmtId="3" fontId="30" fillId="0" borderId="19" xfId="0" applyNumberFormat="1" applyFont="1" applyBorder="1" applyAlignment="1">
      <alignment/>
    </xf>
    <xf numFmtId="0" fontId="47" fillId="0" borderId="16" xfId="0" applyFont="1" applyBorder="1" applyAlignment="1">
      <alignment horizontal="center" vertical="center" wrapText="1"/>
    </xf>
    <xf numFmtId="3" fontId="45" fillId="0" borderId="20" xfId="116" applyNumberFormat="1" applyFont="1" applyBorder="1">
      <alignment/>
      <protection/>
    </xf>
    <xf numFmtId="3" fontId="48" fillId="0" borderId="20" xfId="116" applyNumberFormat="1" applyFont="1" applyBorder="1">
      <alignment/>
      <protection/>
    </xf>
    <xf numFmtId="3" fontId="45" fillId="0" borderId="19" xfId="116" applyNumberFormat="1" applyFont="1" applyBorder="1">
      <alignment/>
      <protection/>
    </xf>
    <xf numFmtId="3" fontId="30" fillId="0" borderId="20" xfId="0" applyNumberFormat="1" applyFont="1" applyBorder="1" applyAlignment="1">
      <alignment horizontal="right"/>
    </xf>
    <xf numFmtId="3" fontId="57" fillId="0" borderId="18" xfId="0" applyNumberFormat="1" applyFont="1" applyBorder="1" applyAlignment="1">
      <alignment horizontal="left" wrapText="1"/>
    </xf>
    <xf numFmtId="3" fontId="38" fillId="0" borderId="76" xfId="112" applyNumberFormat="1" applyFont="1" applyBorder="1">
      <alignment/>
      <protection/>
    </xf>
    <xf numFmtId="3" fontId="38" fillId="0" borderId="77" xfId="112" applyNumberFormat="1" applyFont="1" applyBorder="1">
      <alignment/>
      <protection/>
    </xf>
    <xf numFmtId="3" fontId="38" fillId="0" borderId="78" xfId="112" applyNumberFormat="1" applyFont="1" applyBorder="1">
      <alignment/>
      <protection/>
    </xf>
    <xf numFmtId="0" fontId="22" fillId="0" borderId="27" xfId="112" applyFont="1" applyBorder="1">
      <alignment/>
      <protection/>
    </xf>
    <xf numFmtId="0" fontId="38" fillId="0" borderId="39" xfId="112" applyFont="1" applyBorder="1" applyAlignment="1">
      <alignment wrapText="1"/>
      <protection/>
    </xf>
    <xf numFmtId="0" fontId="47" fillId="0" borderId="0" xfId="0" applyFont="1" applyAlignment="1">
      <alignment/>
    </xf>
    <xf numFmtId="0" fontId="47" fillId="0" borderId="15" xfId="0" applyFont="1" applyBorder="1" applyAlignment="1">
      <alignment horizontal="left" vertical="center"/>
    </xf>
    <xf numFmtId="3" fontId="47" fillId="0" borderId="16" xfId="0" applyNumberFormat="1" applyFont="1" applyBorder="1" applyAlignment="1">
      <alignment horizontal="right" vertical="center" wrapText="1"/>
    </xf>
    <xf numFmtId="3" fontId="47" fillId="0" borderId="20" xfId="0" applyNumberFormat="1" applyFont="1" applyBorder="1" applyAlignment="1">
      <alignment horizontal="right" vertical="center" wrapText="1"/>
    </xf>
    <xf numFmtId="0" fontId="69" fillId="0" borderId="15" xfId="0" applyFont="1" applyBorder="1" applyAlignment="1">
      <alignment/>
    </xf>
    <xf numFmtId="3" fontId="69" fillId="0" borderId="16" xfId="0" applyNumberFormat="1" applyFont="1" applyBorder="1" applyAlignment="1">
      <alignment horizontal="right" vertical="center" wrapText="1"/>
    </xf>
    <xf numFmtId="3" fontId="70" fillId="0" borderId="16" xfId="0" applyNumberFormat="1" applyFont="1" applyBorder="1" applyAlignment="1">
      <alignment horizontal="right" vertical="center" wrapText="1"/>
    </xf>
    <xf numFmtId="0" fontId="70" fillId="0" borderId="0" xfId="0" applyFont="1" applyAlignment="1">
      <alignment/>
    </xf>
    <xf numFmtId="0" fontId="47" fillId="0" borderId="15" xfId="0" applyFont="1" applyBorder="1" applyAlignment="1">
      <alignment wrapText="1"/>
    </xf>
    <xf numFmtId="0" fontId="47" fillId="0" borderId="15" xfId="0" applyFont="1" applyBorder="1" applyAlignment="1">
      <alignment/>
    </xf>
    <xf numFmtId="3" fontId="71" fillId="0" borderId="16" xfId="0" applyNumberFormat="1" applyFont="1" applyBorder="1" applyAlignment="1">
      <alignment horizontal="right" vertical="center" wrapText="1"/>
    </xf>
    <xf numFmtId="0" fontId="71" fillId="0" borderId="0" xfId="0" applyFont="1" applyAlignment="1">
      <alignment/>
    </xf>
    <xf numFmtId="3" fontId="71" fillId="0" borderId="16" xfId="0" applyNumberFormat="1" applyFont="1" applyBorder="1" applyAlignment="1">
      <alignment/>
    </xf>
    <xf numFmtId="0" fontId="71" fillId="0" borderId="15" xfId="0" applyFont="1" applyBorder="1" applyAlignment="1">
      <alignment/>
    </xf>
    <xf numFmtId="0" fontId="71" fillId="0" borderId="15" xfId="0" applyFont="1" applyBorder="1" applyAlignment="1">
      <alignment horizontal="left" vertical="center" wrapText="1"/>
    </xf>
    <xf numFmtId="0" fontId="69" fillId="0" borderId="15" xfId="0" applyFont="1" applyBorder="1" applyAlignment="1">
      <alignment wrapText="1"/>
    </xf>
    <xf numFmtId="0" fontId="69" fillId="0" borderId="15" xfId="0" applyFont="1" applyBorder="1" applyAlignment="1">
      <alignment shrinkToFit="1"/>
    </xf>
    <xf numFmtId="3" fontId="47" fillId="0" borderId="15" xfId="0" applyNumberFormat="1" applyFont="1" applyBorder="1" applyAlignment="1">
      <alignment shrinkToFit="1"/>
    </xf>
    <xf numFmtId="3" fontId="69" fillId="0" borderId="15" xfId="0" applyNumberFormat="1" applyFont="1" applyBorder="1" applyAlignment="1">
      <alignment shrinkToFit="1"/>
    </xf>
    <xf numFmtId="3" fontId="47" fillId="0" borderId="15" xfId="0" applyNumberFormat="1" applyFont="1" applyBorder="1" applyAlignment="1">
      <alignment wrapText="1"/>
    </xf>
    <xf numFmtId="3" fontId="69" fillId="0" borderId="15" xfId="0" applyNumberFormat="1" applyFont="1" applyBorder="1" applyAlignment="1">
      <alignment wrapText="1"/>
    </xf>
    <xf numFmtId="0" fontId="64" fillId="0" borderId="15" xfId="0" applyFont="1" applyBorder="1" applyAlignment="1">
      <alignment/>
    </xf>
    <xf numFmtId="3" fontId="47" fillId="0" borderId="15" xfId="0" applyNumberFormat="1" applyFont="1" applyBorder="1" applyAlignment="1">
      <alignment vertical="center" wrapText="1"/>
    </xf>
    <xf numFmtId="3" fontId="47" fillId="0" borderId="17" xfId="0" applyNumberFormat="1" applyFont="1" applyBorder="1" applyAlignment="1">
      <alignment shrinkToFit="1"/>
    </xf>
    <xf numFmtId="3" fontId="47" fillId="0" borderId="18" xfId="0" applyNumberFormat="1" applyFont="1" applyBorder="1" applyAlignment="1">
      <alignment/>
    </xf>
    <xf numFmtId="3" fontId="47" fillId="0" borderId="18" xfId="0" applyNumberFormat="1" applyFont="1" applyBorder="1" applyAlignment="1">
      <alignment horizontal="right" vertical="center" wrapText="1"/>
    </xf>
    <xf numFmtId="3" fontId="47" fillId="0" borderId="19" xfId="0" applyNumberFormat="1" applyFont="1" applyBorder="1" applyAlignment="1">
      <alignment horizontal="right" vertical="center" wrapText="1"/>
    </xf>
    <xf numFmtId="0" fontId="46" fillId="0" borderId="0" xfId="116" applyFont="1" applyBorder="1">
      <alignment/>
      <protection/>
    </xf>
    <xf numFmtId="0" fontId="28" fillId="0" borderId="20" xfId="108" applyFont="1" applyBorder="1">
      <alignment/>
      <protection/>
    </xf>
    <xf numFmtId="0" fontId="49" fillId="0" borderId="15" xfId="111" applyFont="1" applyFill="1" applyBorder="1" applyAlignment="1">
      <alignment horizontal="center" vertical="center"/>
      <protection/>
    </xf>
    <xf numFmtId="0" fontId="28" fillId="0" borderId="16" xfId="111" applyFont="1" applyFill="1" applyBorder="1">
      <alignment/>
      <protection/>
    </xf>
    <xf numFmtId="0" fontId="28" fillId="0" borderId="15" xfId="111" applyFont="1" applyFill="1" applyBorder="1">
      <alignment/>
      <protection/>
    </xf>
    <xf numFmtId="0" fontId="28" fillId="0" borderId="20" xfId="111" applyFont="1" applyFill="1" applyBorder="1">
      <alignment/>
      <protection/>
    </xf>
    <xf numFmtId="0" fontId="33" fillId="52" borderId="16" xfId="108" applyFont="1" applyFill="1" applyBorder="1" applyAlignment="1">
      <alignment vertical="center"/>
      <protection/>
    </xf>
    <xf numFmtId="0" fontId="26" fillId="52" borderId="16" xfId="108" applyFont="1" applyFill="1" applyBorder="1" applyAlignment="1">
      <alignment vertical="center"/>
      <protection/>
    </xf>
    <xf numFmtId="3" fontId="28" fillId="0" borderId="16" xfId="0" applyNumberFormat="1" applyFont="1" applyBorder="1" applyAlignment="1">
      <alignment/>
    </xf>
    <xf numFmtId="3" fontId="30" fillId="0" borderId="16" xfId="0" applyNumberFormat="1" applyFont="1" applyBorder="1" applyAlignment="1">
      <alignment horizontal="right"/>
    </xf>
    <xf numFmtId="3" fontId="30" fillId="0" borderId="14" xfId="0" applyNumberFormat="1" applyFont="1" applyBorder="1" applyAlignment="1">
      <alignment horizontal="center" vertical="center" wrapText="1"/>
    </xf>
    <xf numFmtId="3" fontId="28" fillId="0" borderId="18" xfId="0" applyNumberFormat="1" applyFont="1" applyBorder="1" applyAlignment="1">
      <alignment/>
    </xf>
    <xf numFmtId="3" fontId="30" fillId="0" borderId="16" xfId="0" applyNumberFormat="1" applyFont="1" applyBorder="1" applyAlignment="1">
      <alignment/>
    </xf>
    <xf numFmtId="3" fontId="30" fillId="0" borderId="18" xfId="0" applyNumberFormat="1" applyFont="1" applyBorder="1" applyAlignment="1">
      <alignment/>
    </xf>
    <xf numFmtId="0" fontId="30" fillId="0" borderId="79" xfId="0" applyFont="1" applyBorder="1" applyAlignment="1">
      <alignment horizontal="center" vertical="center" wrapText="1"/>
    </xf>
    <xf numFmtId="3" fontId="30" fillId="0" borderId="80" xfId="0" applyNumberFormat="1" applyFont="1" applyBorder="1" applyAlignment="1">
      <alignment horizontal="center" wrapText="1"/>
    </xf>
    <xf numFmtId="0" fontId="28" fillId="0" borderId="16" xfId="0" applyFont="1" applyBorder="1" applyAlignment="1">
      <alignment/>
    </xf>
    <xf numFmtId="0" fontId="28" fillId="0" borderId="13" xfId="0" applyFont="1" applyBorder="1" applyAlignment="1">
      <alignment/>
    </xf>
    <xf numFmtId="2" fontId="28" fillId="0" borderId="14" xfId="0" applyNumberFormat="1" applyFont="1" applyBorder="1" applyAlignment="1">
      <alignment horizontal="center"/>
    </xf>
    <xf numFmtId="2" fontId="28" fillId="0" borderId="30" xfId="0" applyNumberFormat="1" applyFont="1" applyBorder="1" applyAlignment="1">
      <alignment horizontal="center"/>
    </xf>
    <xf numFmtId="0" fontId="30" fillId="0" borderId="81" xfId="0" applyFont="1" applyBorder="1" applyAlignment="1">
      <alignment horizontal="center" vertical="center" wrapText="1"/>
    </xf>
    <xf numFmtId="2" fontId="28" fillId="0" borderId="20" xfId="0" applyNumberFormat="1" applyFont="1" applyBorder="1" applyAlignment="1">
      <alignment horizontal="center" vertical="top" wrapText="1"/>
    </xf>
    <xf numFmtId="0" fontId="55" fillId="0" borderId="16" xfId="116" applyFont="1" applyBorder="1">
      <alignment/>
      <protection/>
    </xf>
    <xf numFmtId="0" fontId="46" fillId="0" borderId="16" xfId="116" applyFont="1" applyBorder="1">
      <alignment/>
      <protection/>
    </xf>
    <xf numFmtId="0" fontId="45" fillId="0" borderId="16" xfId="116" applyFont="1" applyBorder="1">
      <alignment/>
      <protection/>
    </xf>
    <xf numFmtId="0" fontId="45" fillId="0" borderId="30" xfId="115" applyFont="1" applyBorder="1" applyAlignment="1">
      <alignment horizontal="center"/>
      <protection/>
    </xf>
    <xf numFmtId="0" fontId="22" fillId="0" borderId="0" xfId="103" applyFont="1">
      <alignment/>
      <protection/>
    </xf>
    <xf numFmtId="0" fontId="21" fillId="0" borderId="0" xfId="103" applyFont="1">
      <alignment/>
      <protection/>
    </xf>
    <xf numFmtId="3" fontId="21" fillId="0" borderId="0" xfId="103" applyNumberFormat="1" applyFont="1">
      <alignment/>
      <protection/>
    </xf>
    <xf numFmtId="0" fontId="35" fillId="0" borderId="0" xfId="103" applyFont="1">
      <alignment/>
      <protection/>
    </xf>
    <xf numFmtId="0" fontId="35" fillId="0" borderId="0" xfId="103" applyFont="1" applyAlignment="1">
      <alignment horizontal="right"/>
      <protection/>
    </xf>
    <xf numFmtId="3" fontId="35" fillId="0" borderId="0" xfId="103" applyNumberFormat="1" applyFont="1">
      <alignment/>
      <protection/>
    </xf>
    <xf numFmtId="0" fontId="77" fillId="0" borderId="0" xfId="104" applyFont="1">
      <alignment/>
      <protection/>
    </xf>
    <xf numFmtId="0" fontId="77" fillId="0" borderId="0" xfId="104" applyFont="1" applyAlignment="1">
      <alignment vertical="center"/>
      <protection/>
    </xf>
    <xf numFmtId="0" fontId="77" fillId="0" borderId="0" xfId="104" applyFont="1" applyBorder="1">
      <alignment/>
      <protection/>
    </xf>
    <xf numFmtId="0" fontId="31" fillId="0" borderId="0" xfId="0" applyFont="1" applyAlignment="1">
      <alignment/>
    </xf>
    <xf numFmtId="0" fontId="1" fillId="0" borderId="0" xfId="102" applyFont="1" applyFill="1">
      <alignment/>
      <protection/>
    </xf>
    <xf numFmtId="0" fontId="1" fillId="0" borderId="0" xfId="102" applyFill="1" applyBorder="1">
      <alignment/>
      <protection/>
    </xf>
    <xf numFmtId="0" fontId="78" fillId="0" borderId="0" xfId="102" applyFont="1" applyFill="1" applyBorder="1">
      <alignment/>
      <protection/>
    </xf>
    <xf numFmtId="0" fontId="22" fillId="0" borderId="0" xfId="102" applyFont="1" applyFill="1">
      <alignment/>
      <protection/>
    </xf>
    <xf numFmtId="0" fontId="24" fillId="0" borderId="0" xfId="102" applyFont="1" applyFill="1">
      <alignment/>
      <protection/>
    </xf>
    <xf numFmtId="49" fontId="1" fillId="0" borderId="0" xfId="102" applyNumberFormat="1" applyFont="1" applyFill="1">
      <alignment/>
      <protection/>
    </xf>
    <xf numFmtId="3" fontId="19" fillId="0" borderId="0" xfId="102" applyNumberFormat="1" applyFont="1" applyFill="1" applyAlignment="1">
      <alignment horizontal="center"/>
      <protection/>
    </xf>
    <xf numFmtId="3" fontId="19" fillId="0" borderId="0" xfId="102" applyNumberFormat="1" applyFont="1" applyFill="1">
      <alignment/>
      <protection/>
    </xf>
    <xf numFmtId="3" fontId="1" fillId="0" borderId="0" xfId="102" applyNumberFormat="1" applyFont="1" applyFill="1">
      <alignment/>
      <protection/>
    </xf>
    <xf numFmtId="0" fontId="0" fillId="0" borderId="0" xfId="0" applyAlignment="1">
      <alignment wrapText="1"/>
    </xf>
    <xf numFmtId="0" fontId="3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16" xfId="0" applyFont="1" applyBorder="1" applyAlignment="1">
      <alignment horizontal="left" wrapText="1"/>
    </xf>
    <xf numFmtId="0" fontId="31" fillId="0" borderId="16" xfId="0" applyFont="1" applyBorder="1" applyAlignment="1">
      <alignment horizontal="left"/>
    </xf>
    <xf numFmtId="0" fontId="31" fillId="0" borderId="0" xfId="0" applyFont="1" applyAlignment="1">
      <alignment horizontal="left"/>
    </xf>
    <xf numFmtId="3" fontId="31" fillId="0" borderId="16" xfId="0" applyNumberFormat="1" applyFont="1" applyBorder="1" applyAlignment="1">
      <alignment horizontal="left"/>
    </xf>
    <xf numFmtId="0" fontId="75" fillId="0" borderId="0" xfId="103" applyFont="1">
      <alignment/>
      <protection/>
    </xf>
    <xf numFmtId="0" fontId="76" fillId="0" borderId="73" xfId="103" applyFont="1" applyBorder="1" applyAlignment="1">
      <alignment horizontal="center" vertical="center" wrapText="1"/>
      <protection/>
    </xf>
    <xf numFmtId="3" fontId="74" fillId="0" borderId="73" xfId="103" applyNumberFormat="1" applyFont="1" applyBorder="1" applyAlignment="1">
      <alignment horizontal="right" vertical="center" wrapText="1"/>
      <protection/>
    </xf>
    <xf numFmtId="3" fontId="75" fillId="0" borderId="73" xfId="103" applyNumberFormat="1" applyFont="1" applyBorder="1" applyAlignment="1">
      <alignment horizontal="right" vertical="center" wrapText="1"/>
      <protection/>
    </xf>
    <xf numFmtId="0" fontId="74" fillId="0" borderId="73" xfId="103" applyFont="1" applyBorder="1" applyAlignment="1">
      <alignment vertical="center" wrapText="1"/>
      <protection/>
    </xf>
    <xf numFmtId="0" fontId="75" fillId="0" borderId="73" xfId="103" applyFont="1" applyBorder="1" applyAlignment="1">
      <alignment vertical="center" wrapText="1"/>
      <protection/>
    </xf>
    <xf numFmtId="0" fontId="74" fillId="0" borderId="73" xfId="103" applyFont="1" applyFill="1" applyBorder="1" applyAlignment="1">
      <alignment vertical="center" wrapText="1"/>
      <protection/>
    </xf>
    <xf numFmtId="3" fontId="74" fillId="0" borderId="73" xfId="103" applyNumberFormat="1" applyFont="1" applyBorder="1">
      <alignment/>
      <protection/>
    </xf>
    <xf numFmtId="0" fontId="75" fillId="0" borderId="0" xfId="103" applyFont="1" applyBorder="1">
      <alignment/>
      <protection/>
    </xf>
    <xf numFmtId="0" fontId="75" fillId="0" borderId="82" xfId="103" applyFont="1" applyBorder="1">
      <alignment/>
      <protection/>
    </xf>
    <xf numFmtId="3" fontId="39" fillId="0" borderId="25" xfId="112" applyNumberFormat="1" applyFont="1" applyBorder="1" applyAlignment="1">
      <alignment horizontal="right"/>
      <protection/>
    </xf>
    <xf numFmtId="3" fontId="41" fillId="0" borderId="25" xfId="114" applyNumberFormat="1" applyFont="1" applyBorder="1" applyAlignment="1">
      <alignment horizontal="right"/>
      <protection/>
    </xf>
    <xf numFmtId="0" fontId="30" fillId="0" borderId="27" xfId="0" applyFont="1" applyBorder="1" applyAlignment="1">
      <alignment horizontal="center" vertical="center" wrapText="1"/>
    </xf>
    <xf numFmtId="0" fontId="22" fillId="0" borderId="73" xfId="102" applyFont="1" applyFill="1" applyBorder="1" applyAlignment="1">
      <alignment horizontal="center" vertical="center" wrapText="1"/>
      <protection/>
    </xf>
    <xf numFmtId="0" fontId="21" fillId="0" borderId="73" xfId="102" applyFont="1" applyFill="1" applyBorder="1" applyAlignment="1">
      <alignment horizontal="center" vertical="center" wrapText="1"/>
      <protection/>
    </xf>
    <xf numFmtId="0" fontId="21" fillId="0" borderId="83" xfId="102" applyFont="1" applyFill="1" applyBorder="1" applyAlignment="1">
      <alignment horizontal="center" vertical="center" wrapText="1"/>
      <protection/>
    </xf>
    <xf numFmtId="0" fontId="35" fillId="0" borderId="84" xfId="102" applyFont="1" applyFill="1" applyBorder="1" applyAlignment="1">
      <alignment horizontal="center" vertical="center" wrapText="1"/>
      <protection/>
    </xf>
    <xf numFmtId="49" fontId="22" fillId="0" borderId="73" xfId="102" applyNumberFormat="1" applyFont="1" applyFill="1" applyBorder="1" applyAlignment="1">
      <alignment horizontal="left" vertical="center"/>
      <protection/>
    </xf>
    <xf numFmtId="0" fontId="52" fillId="0" borderId="73" xfId="102" applyFont="1" applyFill="1" applyBorder="1">
      <alignment/>
      <protection/>
    </xf>
    <xf numFmtId="0" fontId="1" fillId="0" borderId="73" xfId="102" applyFill="1" applyBorder="1">
      <alignment/>
      <protection/>
    </xf>
    <xf numFmtId="0" fontId="1" fillId="0" borderId="83" xfId="102" applyFill="1" applyBorder="1">
      <alignment/>
      <protection/>
    </xf>
    <xf numFmtId="0" fontId="62" fillId="0" borderId="84" xfId="102" applyFont="1" applyFill="1" applyBorder="1">
      <alignment/>
      <protection/>
    </xf>
    <xf numFmtId="49" fontId="62" fillId="0" borderId="73" xfId="102" applyNumberFormat="1" applyFont="1" applyFill="1" applyBorder="1">
      <alignment/>
      <protection/>
    </xf>
    <xf numFmtId="3" fontId="62" fillId="0" borderId="73" xfId="102" applyNumberFormat="1" applyFont="1" applyFill="1" applyBorder="1" applyAlignment="1">
      <alignment horizontal="right"/>
      <protection/>
    </xf>
    <xf numFmtId="3" fontId="62" fillId="0" borderId="83" xfId="102" applyNumberFormat="1" applyFont="1" applyFill="1" applyBorder="1" applyAlignment="1">
      <alignment horizontal="right"/>
      <protection/>
    </xf>
    <xf numFmtId="0" fontId="21" fillId="0" borderId="84" xfId="102" applyFont="1" applyFill="1" applyBorder="1">
      <alignment/>
      <protection/>
    </xf>
    <xf numFmtId="49" fontId="21" fillId="0" borderId="73" xfId="102" applyNumberFormat="1" applyFont="1" applyFill="1" applyBorder="1">
      <alignment/>
      <protection/>
    </xf>
    <xf numFmtId="3" fontId="21" fillId="0" borderId="83" xfId="102" applyNumberFormat="1" applyFont="1" applyFill="1" applyBorder="1" applyAlignment="1">
      <alignment horizontal="right"/>
      <protection/>
    </xf>
    <xf numFmtId="0" fontId="36" fillId="0" borderId="84" xfId="102" applyFont="1" applyFill="1" applyBorder="1">
      <alignment/>
      <protection/>
    </xf>
    <xf numFmtId="49" fontId="36" fillId="0" borderId="73" xfId="102" applyNumberFormat="1" applyFont="1" applyFill="1" applyBorder="1">
      <alignment/>
      <protection/>
    </xf>
    <xf numFmtId="3" fontId="36" fillId="0" borderId="83" xfId="102" applyNumberFormat="1" applyFont="1" applyFill="1" applyBorder="1" applyAlignment="1">
      <alignment horizontal="right"/>
      <protection/>
    </xf>
    <xf numFmtId="49" fontId="53" fillId="0" borderId="73" xfId="102" applyNumberFormat="1" applyFont="1" applyFill="1" applyBorder="1">
      <alignment/>
      <protection/>
    </xf>
    <xf numFmtId="3" fontId="22" fillId="0" borderId="73" xfId="102" applyNumberFormat="1" applyFont="1" applyFill="1" applyBorder="1" applyAlignment="1">
      <alignment horizontal="right" vertical="center" wrapText="1"/>
      <protection/>
    </xf>
    <xf numFmtId="0" fontId="35" fillId="0" borderId="84" xfId="102" applyFont="1" applyFill="1" applyBorder="1">
      <alignment/>
      <protection/>
    </xf>
    <xf numFmtId="49" fontId="35" fillId="0" borderId="73" xfId="102" applyNumberFormat="1" applyFont="1" applyFill="1" applyBorder="1" applyAlignment="1">
      <alignment/>
      <protection/>
    </xf>
    <xf numFmtId="3" fontId="35" fillId="0" borderId="73" xfId="102" applyNumberFormat="1" applyFont="1" applyFill="1" applyBorder="1" applyAlignment="1">
      <alignment horizontal="right"/>
      <protection/>
    </xf>
    <xf numFmtId="3" fontId="35" fillId="0" borderId="83" xfId="102" applyNumberFormat="1" applyFont="1" applyFill="1" applyBorder="1" applyAlignment="1">
      <alignment horizontal="right"/>
      <protection/>
    </xf>
    <xf numFmtId="49" fontId="21" fillId="0" borderId="73" xfId="102" applyNumberFormat="1" applyFont="1" applyFill="1" applyBorder="1" applyAlignment="1">
      <alignment vertical="center" wrapText="1"/>
      <protection/>
    </xf>
    <xf numFmtId="49" fontId="35" fillId="0" borderId="73" xfId="102" applyNumberFormat="1" applyFont="1" applyFill="1" applyBorder="1" applyAlignment="1">
      <alignment vertical="center" wrapText="1"/>
      <protection/>
    </xf>
    <xf numFmtId="49" fontId="35" fillId="0" borderId="73" xfId="102" applyNumberFormat="1" applyFont="1" applyFill="1" applyBorder="1">
      <alignment/>
      <protection/>
    </xf>
    <xf numFmtId="3" fontId="22" fillId="0" borderId="73" xfId="102" applyNumberFormat="1" applyFont="1" applyFill="1" applyBorder="1" applyAlignment="1">
      <alignment horizontal="right"/>
      <protection/>
    </xf>
    <xf numFmtId="49" fontId="35" fillId="0" borderId="84" xfId="102" applyNumberFormat="1" applyFont="1" applyFill="1" applyBorder="1" applyAlignment="1">
      <alignment vertical="center" wrapText="1"/>
      <protection/>
    </xf>
    <xf numFmtId="4" fontId="21" fillId="0" borderId="73" xfId="102" applyNumberFormat="1" applyFont="1" applyFill="1" applyBorder="1" applyAlignment="1">
      <alignment horizontal="right"/>
      <protection/>
    </xf>
    <xf numFmtId="49" fontId="52" fillId="0" borderId="73" xfId="102" applyNumberFormat="1" applyFont="1" applyFill="1" applyBorder="1" applyAlignment="1">
      <alignment vertical="center" wrapText="1"/>
      <protection/>
    </xf>
    <xf numFmtId="0" fontId="63" fillId="0" borderId="73" xfId="102" applyFont="1" applyFill="1" applyBorder="1" applyAlignment="1">
      <alignment horizontal="left" wrapText="1"/>
      <protection/>
    </xf>
    <xf numFmtId="49" fontId="35" fillId="0" borderId="84" xfId="102" applyNumberFormat="1" applyFont="1" applyFill="1" applyBorder="1" applyAlignment="1">
      <alignment horizontal="left" wrapText="1"/>
      <protection/>
    </xf>
    <xf numFmtId="49" fontId="22" fillId="0" borderId="73" xfId="102" applyNumberFormat="1" applyFont="1" applyFill="1" applyBorder="1" applyAlignment="1">
      <alignment vertical="center" wrapText="1"/>
      <protection/>
    </xf>
    <xf numFmtId="0" fontId="62" fillId="0" borderId="85" xfId="102" applyFont="1" applyFill="1" applyBorder="1">
      <alignment/>
      <protection/>
    </xf>
    <xf numFmtId="49" fontId="54" fillId="0" borderId="86" xfId="102" applyNumberFormat="1" applyFont="1" applyFill="1" applyBorder="1">
      <alignment/>
      <protection/>
    </xf>
    <xf numFmtId="0" fontId="54" fillId="0" borderId="86" xfId="102" applyFont="1" applyFill="1" applyBorder="1">
      <alignment/>
      <protection/>
    </xf>
    <xf numFmtId="3" fontId="62" fillId="0" borderId="86" xfId="102" applyNumberFormat="1" applyFont="1" applyFill="1" applyBorder="1" applyAlignment="1">
      <alignment horizontal="center"/>
      <protection/>
    </xf>
    <xf numFmtId="3" fontId="62" fillId="0" borderId="86" xfId="102" applyNumberFormat="1" applyFont="1" applyFill="1" applyBorder="1">
      <alignment/>
      <protection/>
    </xf>
    <xf numFmtId="3" fontId="35" fillId="0" borderId="86" xfId="102" applyNumberFormat="1" applyFont="1" applyFill="1" applyBorder="1">
      <alignment/>
      <protection/>
    </xf>
    <xf numFmtId="3" fontId="35" fillId="0" borderId="87" xfId="102" applyNumberFormat="1" applyFont="1" applyFill="1" applyBorder="1">
      <alignment/>
      <protection/>
    </xf>
    <xf numFmtId="0" fontId="35" fillId="0" borderId="88" xfId="103" applyFont="1" applyBorder="1" applyAlignment="1">
      <alignment horizontal="left"/>
      <protection/>
    </xf>
    <xf numFmtId="0" fontId="72" fillId="0" borderId="89" xfId="103" applyFont="1" applyBorder="1" applyAlignment="1">
      <alignment horizontal="left"/>
      <protection/>
    </xf>
    <xf numFmtId="0" fontId="21" fillId="0" borderId="84" xfId="103" applyFont="1" applyBorder="1" applyAlignment="1">
      <alignment horizontal="left"/>
      <protection/>
    </xf>
    <xf numFmtId="3" fontId="21" fillId="0" borderId="83" xfId="103" applyNumberFormat="1" applyFont="1" applyBorder="1">
      <alignment/>
      <protection/>
    </xf>
    <xf numFmtId="0" fontId="35" fillId="0" borderId="84" xfId="103" applyFont="1" applyBorder="1">
      <alignment/>
      <protection/>
    </xf>
    <xf numFmtId="0" fontId="21" fillId="0" borderId="84" xfId="103" applyFont="1" applyBorder="1">
      <alignment/>
      <protection/>
    </xf>
    <xf numFmtId="0" fontId="31" fillId="0" borderId="84" xfId="103" applyFont="1" applyBorder="1">
      <alignment/>
      <protection/>
    </xf>
    <xf numFmtId="3" fontId="21" fillId="0" borderId="83" xfId="103" applyNumberFormat="1" applyFont="1" applyBorder="1">
      <alignment/>
      <protection/>
    </xf>
    <xf numFmtId="3" fontId="35" fillId="0" borderId="83" xfId="103" applyNumberFormat="1" applyFont="1" applyBorder="1">
      <alignment/>
      <protection/>
    </xf>
    <xf numFmtId="0" fontId="35" fillId="0" borderId="84" xfId="103" applyFont="1" applyBorder="1" applyAlignment="1">
      <alignment wrapText="1"/>
      <protection/>
    </xf>
    <xf numFmtId="3" fontId="21" fillId="0" borderId="83" xfId="103" applyNumberFormat="1" applyFont="1" applyBorder="1" applyAlignment="1">
      <alignment horizontal="right"/>
      <protection/>
    </xf>
    <xf numFmtId="0" fontId="35" fillId="0" borderId="85" xfId="103" applyFont="1" applyBorder="1">
      <alignment/>
      <protection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 wrapText="1"/>
    </xf>
    <xf numFmtId="0" fontId="31" fillId="0" borderId="15" xfId="0" applyFont="1" applyBorder="1" applyAlignment="1">
      <alignment/>
    </xf>
    <xf numFmtId="0" fontId="31" fillId="0" borderId="15" xfId="0" applyFont="1" applyBorder="1" applyAlignment="1">
      <alignment horizontal="left"/>
    </xf>
    <xf numFmtId="0" fontId="31" fillId="0" borderId="15" xfId="0" applyFont="1" applyBorder="1" applyAlignment="1">
      <alignment horizontal="left" wrapText="1"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wrapText="1"/>
    </xf>
    <xf numFmtId="3" fontId="28" fillId="52" borderId="20" xfId="108" applyNumberFormat="1" applyFont="1" applyFill="1" applyBorder="1" applyAlignment="1">
      <alignment vertical="center"/>
      <protection/>
    </xf>
    <xf numFmtId="3" fontId="79" fillId="52" borderId="20" xfId="108" applyNumberFormat="1" applyFont="1" applyFill="1" applyBorder="1" applyAlignment="1">
      <alignment vertical="center"/>
      <protection/>
    </xf>
    <xf numFmtId="0" fontId="25" fillId="52" borderId="15" xfId="108" applyFill="1" applyBorder="1" applyAlignment="1">
      <alignment vertical="center" wrapText="1"/>
      <protection/>
    </xf>
    <xf numFmtId="3" fontId="25" fillId="52" borderId="16" xfId="108" applyNumberFormat="1" applyFill="1" applyBorder="1" applyAlignment="1">
      <alignment vertical="center"/>
      <protection/>
    </xf>
    <xf numFmtId="3" fontId="30" fillId="52" borderId="16" xfId="108" applyNumberFormat="1" applyFont="1" applyFill="1" applyBorder="1" applyAlignment="1">
      <alignment horizontal="center" vertical="center"/>
      <protection/>
    </xf>
    <xf numFmtId="3" fontId="30" fillId="52" borderId="16" xfId="108" applyNumberFormat="1" applyFont="1" applyFill="1" applyBorder="1" applyAlignment="1">
      <alignment horizontal="center" vertical="center" wrapText="1"/>
      <protection/>
    </xf>
    <xf numFmtId="3" fontId="49" fillId="52" borderId="16" xfId="0" applyNumberFormat="1" applyFont="1" applyFill="1" applyBorder="1" applyAlignment="1">
      <alignment horizontal="center" vertical="center" wrapText="1"/>
    </xf>
    <xf numFmtId="3" fontId="57" fillId="52" borderId="16" xfId="0" applyNumberFormat="1" applyFont="1" applyFill="1" applyBorder="1" applyAlignment="1">
      <alignment horizontal="center" vertical="center" wrapText="1"/>
    </xf>
    <xf numFmtId="3" fontId="49" fillId="52" borderId="2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30" fillId="53" borderId="0" xfId="0" applyFont="1" applyFill="1" applyAlignment="1">
      <alignment/>
    </xf>
    <xf numFmtId="3" fontId="30" fillId="0" borderId="0" xfId="0" applyNumberFormat="1" applyFont="1" applyAlignment="1">
      <alignment/>
    </xf>
    <xf numFmtId="3" fontId="30" fillId="53" borderId="0" xfId="0" applyNumberFormat="1" applyFont="1" applyFill="1" applyAlignment="1">
      <alignment/>
    </xf>
    <xf numFmtId="0" fontId="80" fillId="0" borderId="0" xfId="104" applyFont="1">
      <alignment/>
      <protection/>
    </xf>
    <xf numFmtId="0" fontId="80" fillId="0" borderId="0" xfId="104" applyFont="1" applyBorder="1">
      <alignment/>
      <protection/>
    </xf>
    <xf numFmtId="0" fontId="106" fillId="0" borderId="0" xfId="0" applyFont="1" applyAlignment="1">
      <alignment horizontal="center"/>
    </xf>
    <xf numFmtId="3" fontId="107" fillId="0" borderId="0" xfId="0" applyNumberFormat="1" applyFont="1" applyAlignment="1">
      <alignment horizontal="right"/>
    </xf>
    <xf numFmtId="3" fontId="106" fillId="0" borderId="90" xfId="0" applyNumberFormat="1" applyFont="1" applyBorder="1" applyAlignment="1">
      <alignment horizontal="left" wrapText="1"/>
    </xf>
    <xf numFmtId="3" fontId="107" fillId="0" borderId="90" xfId="0" applyNumberFormat="1" applyFont="1" applyBorder="1" applyAlignment="1">
      <alignment horizontal="left" wrapText="1"/>
    </xf>
    <xf numFmtId="3" fontId="107" fillId="0" borderId="90" xfId="0" applyNumberFormat="1" applyFont="1" applyFill="1" applyBorder="1" applyAlignment="1">
      <alignment horizontal="left" wrapText="1"/>
    </xf>
    <xf numFmtId="0" fontId="106" fillId="0" borderId="90" xfId="0" applyFont="1" applyBorder="1" applyAlignment="1">
      <alignment/>
    </xf>
    <xf numFmtId="0" fontId="106" fillId="0" borderId="90" xfId="0" applyFont="1" applyBorder="1" applyAlignment="1">
      <alignment horizontal="right"/>
    </xf>
    <xf numFmtId="0" fontId="107" fillId="0" borderId="0" xfId="0" applyFont="1" applyBorder="1" applyAlignment="1">
      <alignment horizontal="center"/>
    </xf>
    <xf numFmtId="0" fontId="106" fillId="0" borderId="90" xfId="73" applyFont="1" applyBorder="1" applyAlignment="1">
      <alignment horizontal="left"/>
    </xf>
    <xf numFmtId="3" fontId="107" fillId="0" borderId="90" xfId="73" applyNumberFormat="1" applyFont="1" applyBorder="1">
      <alignment/>
    </xf>
    <xf numFmtId="3" fontId="106" fillId="0" borderId="90" xfId="73" applyNumberFormat="1" applyFont="1" applyBorder="1">
      <alignment/>
    </xf>
    <xf numFmtId="0" fontId="106" fillId="0" borderId="90" xfId="73" applyFont="1" applyBorder="1">
      <alignment/>
    </xf>
    <xf numFmtId="49" fontId="106" fillId="0" borderId="90" xfId="73" applyNumberFormat="1" applyFont="1" applyBorder="1" applyAlignment="1">
      <alignment horizontal="center"/>
    </xf>
    <xf numFmtId="0" fontId="106" fillId="0" borderId="90" xfId="73" applyFont="1" applyBorder="1" applyAlignment="1">
      <alignment/>
    </xf>
    <xf numFmtId="3" fontId="106" fillId="0" borderId="90" xfId="73" applyNumberFormat="1" applyFont="1" applyBorder="1" applyAlignment="1">
      <alignment horizontal="right"/>
    </xf>
    <xf numFmtId="0" fontId="106" fillId="0" borderId="0" xfId="73" applyFont="1">
      <alignment/>
    </xf>
    <xf numFmtId="0" fontId="107" fillId="0" borderId="90" xfId="73" applyFont="1" applyBorder="1" applyAlignment="1">
      <alignment horizontal="left" vertical="center"/>
    </xf>
    <xf numFmtId="0" fontId="107" fillId="0" borderId="90" xfId="73" applyFont="1" applyBorder="1" applyAlignment="1">
      <alignment vertical="center"/>
    </xf>
    <xf numFmtId="0" fontId="106" fillId="0" borderId="90" xfId="73" applyFont="1" applyBorder="1" applyAlignment="1">
      <alignment horizontal="right"/>
    </xf>
    <xf numFmtId="0" fontId="107" fillId="0" borderId="90" xfId="73" applyFont="1" applyBorder="1" applyAlignment="1">
      <alignment horizontal="left"/>
    </xf>
    <xf numFmtId="0" fontId="106" fillId="0" borderId="90" xfId="73" applyFont="1" applyFill="1" applyBorder="1">
      <alignment/>
    </xf>
    <xf numFmtId="49" fontId="106" fillId="0" borderId="90" xfId="73" applyNumberFormat="1" applyFont="1" applyFill="1" applyBorder="1" applyAlignment="1">
      <alignment horizontal="center"/>
    </xf>
    <xf numFmtId="0" fontId="106" fillId="0" borderId="90" xfId="73" applyFont="1" applyFill="1" applyBorder="1" applyAlignment="1">
      <alignment/>
    </xf>
    <xf numFmtId="3" fontId="107" fillId="0" borderId="90" xfId="73" applyNumberFormat="1" applyFont="1" applyFill="1" applyBorder="1">
      <alignment/>
    </xf>
    <xf numFmtId="3" fontId="107" fillId="0" borderId="90" xfId="73" applyNumberFormat="1" applyFont="1" applyBorder="1" applyAlignment="1">
      <alignment/>
    </xf>
    <xf numFmtId="0" fontId="108" fillId="0" borderId="0" xfId="105" applyFont="1">
      <alignment/>
      <protection/>
    </xf>
    <xf numFmtId="0" fontId="28" fillId="0" borderId="0" xfId="105" applyFont="1" applyAlignment="1">
      <alignment horizontal="center"/>
      <protection/>
    </xf>
    <xf numFmtId="3" fontId="30" fillId="0" borderId="0" xfId="105" applyNumberFormat="1" applyFont="1" applyAlignment="1">
      <alignment horizontal="right"/>
      <protection/>
    </xf>
    <xf numFmtId="0" fontId="106" fillId="0" borderId="34" xfId="100" applyFont="1" applyBorder="1" applyAlignment="1" applyProtection="1">
      <alignment/>
      <protection/>
    </xf>
    <xf numFmtId="49" fontId="106" fillId="0" borderId="21" xfId="100" applyNumberFormat="1" applyFont="1" applyBorder="1" applyAlignment="1" applyProtection="1">
      <alignment horizontal="center"/>
      <protection/>
    </xf>
    <xf numFmtId="0" fontId="106" fillId="0" borderId="21" xfId="100" applyFont="1" applyBorder="1" applyAlignment="1" applyProtection="1">
      <alignment/>
      <protection/>
    </xf>
    <xf numFmtId="0" fontId="106" fillId="0" borderId="21" xfId="100" applyFont="1" applyBorder="1" applyAlignment="1" applyProtection="1">
      <alignment horizontal="left"/>
      <protection/>
    </xf>
    <xf numFmtId="3" fontId="107" fillId="0" borderId="21" xfId="100" applyNumberFormat="1" applyFont="1" applyBorder="1" applyAlignment="1" applyProtection="1">
      <alignment/>
      <protection/>
    </xf>
    <xf numFmtId="3" fontId="106" fillId="0" borderId="21" xfId="100" applyNumberFormat="1" applyFont="1" applyBorder="1" applyAlignment="1" applyProtection="1">
      <alignment/>
      <protection/>
    </xf>
    <xf numFmtId="0" fontId="106" fillId="0" borderId="22" xfId="100" applyFont="1" applyBorder="1" applyAlignment="1" applyProtection="1">
      <alignment/>
      <protection/>
    </xf>
    <xf numFmtId="0" fontId="106" fillId="0" borderId="15" xfId="100" applyFont="1" applyBorder="1" applyAlignment="1" applyProtection="1">
      <alignment/>
      <protection/>
    </xf>
    <xf numFmtId="49" fontId="106" fillId="0" borderId="16" xfId="100" applyNumberFormat="1" applyFont="1" applyBorder="1" applyAlignment="1" applyProtection="1">
      <alignment horizontal="center"/>
      <protection/>
    </xf>
    <xf numFmtId="0" fontId="106" fillId="0" borderId="16" xfId="100" applyFont="1" applyBorder="1" applyAlignment="1" applyProtection="1">
      <alignment/>
      <protection/>
    </xf>
    <xf numFmtId="3" fontId="106" fillId="0" borderId="16" xfId="100" applyNumberFormat="1" applyFont="1" applyBorder="1" applyAlignment="1" applyProtection="1">
      <alignment horizontal="left" wrapText="1"/>
      <protection/>
    </xf>
    <xf numFmtId="3" fontId="107" fillId="0" borderId="16" xfId="100" applyNumberFormat="1" applyFont="1" applyBorder="1" applyAlignment="1" applyProtection="1">
      <alignment/>
      <protection/>
    </xf>
    <xf numFmtId="3" fontId="106" fillId="0" borderId="16" xfId="100" applyNumberFormat="1" applyFont="1" applyBorder="1" applyAlignment="1" applyProtection="1">
      <alignment/>
      <protection/>
    </xf>
    <xf numFmtId="0" fontId="106" fillId="0" borderId="20" xfId="100" applyFont="1" applyBorder="1" applyAlignment="1" applyProtection="1">
      <alignment/>
      <protection/>
    </xf>
    <xf numFmtId="0" fontId="106" fillId="0" borderId="16" xfId="100" applyFont="1" applyBorder="1" applyAlignment="1" applyProtection="1">
      <alignment horizontal="left"/>
      <protection/>
    </xf>
    <xf numFmtId="3" fontId="106" fillId="0" borderId="16" xfId="100" applyNumberFormat="1" applyFont="1" applyBorder="1" applyAlignment="1" applyProtection="1">
      <alignment horizontal="right"/>
      <protection/>
    </xf>
    <xf numFmtId="0" fontId="106" fillId="0" borderId="16" xfId="100" applyFont="1" applyBorder="1" applyAlignment="1" applyProtection="1">
      <alignment wrapText="1"/>
      <protection/>
    </xf>
    <xf numFmtId="0" fontId="106" fillId="0" borderId="16" xfId="100" applyFont="1" applyBorder="1" applyAlignment="1" applyProtection="1">
      <alignment horizontal="right"/>
      <protection/>
    </xf>
    <xf numFmtId="49" fontId="106" fillId="0" borderId="16" xfId="100" applyNumberFormat="1" applyFont="1" applyBorder="1" applyAlignment="1" applyProtection="1">
      <alignment horizontal="center" vertical="center"/>
      <protection/>
    </xf>
    <xf numFmtId="0" fontId="106" fillId="0" borderId="16" xfId="100" applyFont="1" applyBorder="1" applyAlignment="1" applyProtection="1">
      <alignment horizontal="left" vertical="center"/>
      <protection/>
    </xf>
    <xf numFmtId="3" fontId="106" fillId="0" borderId="20" xfId="100" applyNumberFormat="1" applyFont="1" applyBorder="1" applyAlignment="1" applyProtection="1">
      <alignment/>
      <protection/>
    </xf>
    <xf numFmtId="0" fontId="107" fillId="0" borderId="91" xfId="100" applyFont="1" applyBorder="1" applyAlignment="1" applyProtection="1">
      <alignment horizontal="center" vertical="center"/>
      <protection/>
    </xf>
    <xf numFmtId="0" fontId="107" fillId="0" borderId="92" xfId="100" applyFont="1" applyBorder="1" applyAlignment="1" applyProtection="1">
      <alignment horizontal="center" vertical="center"/>
      <protection/>
    </xf>
    <xf numFmtId="0" fontId="107" fillId="0" borderId="93" xfId="100" applyFont="1" applyBorder="1" applyAlignment="1" applyProtection="1">
      <alignment horizontal="center" vertical="center"/>
      <protection/>
    </xf>
    <xf numFmtId="0" fontId="107" fillId="0" borderId="94" xfId="100" applyFont="1" applyBorder="1" applyAlignment="1" applyProtection="1">
      <alignment horizontal="center" vertical="center"/>
      <protection/>
    </xf>
    <xf numFmtId="0" fontId="107" fillId="0" borderId="95" xfId="100" applyFont="1" applyBorder="1" applyAlignment="1" applyProtection="1">
      <alignment horizontal="center" vertical="center" wrapText="1"/>
      <protection/>
    </xf>
    <xf numFmtId="0" fontId="107" fillId="0" borderId="52" xfId="100" applyFont="1" applyBorder="1" applyAlignment="1" applyProtection="1">
      <alignment horizontal="center" vertical="center"/>
      <protection/>
    </xf>
    <xf numFmtId="0" fontId="107" fillId="0" borderId="0" xfId="100" applyFont="1" applyBorder="1" applyAlignment="1" applyProtection="1">
      <alignment horizontal="center" vertical="center"/>
      <protection/>
    </xf>
    <xf numFmtId="0" fontId="107" fillId="0" borderId="96" xfId="100" applyFont="1" applyBorder="1" applyAlignment="1" applyProtection="1">
      <alignment horizontal="center" vertical="center"/>
      <protection/>
    </xf>
    <xf numFmtId="0" fontId="107" fillId="0" borderId="97" xfId="100" applyFont="1" applyBorder="1" applyAlignment="1" applyProtection="1">
      <alignment horizontal="center" vertical="center"/>
      <protection/>
    </xf>
    <xf numFmtId="0" fontId="107" fillId="0" borderId="28" xfId="100" applyFont="1" applyBorder="1" applyAlignment="1" applyProtection="1">
      <alignment horizontal="center" vertical="center" wrapText="1"/>
      <protection/>
    </xf>
    <xf numFmtId="0" fontId="107" fillId="0" borderId="28" xfId="100" applyFont="1" applyBorder="1" applyAlignment="1" applyProtection="1">
      <alignment horizontal="center" vertical="center"/>
      <protection/>
    </xf>
    <xf numFmtId="3" fontId="107" fillId="0" borderId="28" xfId="100" applyNumberFormat="1" applyFont="1" applyBorder="1" applyAlignment="1" applyProtection="1">
      <alignment horizontal="center" vertical="center" wrapText="1"/>
      <protection/>
    </xf>
    <xf numFmtId="0" fontId="107" fillId="0" borderId="98" xfId="100" applyFont="1" applyBorder="1" applyAlignment="1" applyProtection="1">
      <alignment horizontal="center" vertical="center" wrapText="1"/>
      <protection/>
    </xf>
    <xf numFmtId="0" fontId="107" fillId="0" borderId="82" xfId="100" applyFont="1" applyBorder="1" applyAlignment="1" applyProtection="1">
      <alignment horizontal="center" vertical="center"/>
      <protection/>
    </xf>
    <xf numFmtId="0" fontId="107" fillId="0" borderId="99" xfId="100" applyFont="1" applyBorder="1" applyAlignment="1" applyProtection="1">
      <alignment horizontal="center" vertical="center"/>
      <protection/>
    </xf>
    <xf numFmtId="0" fontId="107" fillId="0" borderId="21" xfId="100" applyFont="1" applyBorder="1" applyAlignment="1" applyProtection="1">
      <alignment horizontal="center" vertical="center"/>
      <protection/>
    </xf>
    <xf numFmtId="0" fontId="107" fillId="0" borderId="21" xfId="100" applyFont="1" applyBorder="1" applyAlignment="1" applyProtection="1">
      <alignment horizontal="center" vertical="center" wrapText="1"/>
      <protection/>
    </xf>
    <xf numFmtId="3" fontId="107" fillId="0" borderId="21" xfId="100" applyNumberFormat="1" applyFont="1" applyBorder="1" applyAlignment="1" applyProtection="1">
      <alignment horizontal="center" vertical="center" wrapText="1"/>
      <protection/>
    </xf>
    <xf numFmtId="0" fontId="107" fillId="0" borderId="22" xfId="100" applyFont="1" applyBorder="1" applyAlignment="1" applyProtection="1">
      <alignment horizontal="center" vertical="center" wrapText="1"/>
      <protection/>
    </xf>
    <xf numFmtId="49" fontId="106" fillId="0" borderId="62" xfId="100" applyNumberFormat="1" applyFont="1" applyBorder="1" applyAlignment="1" applyProtection="1">
      <alignment horizontal="center"/>
      <protection/>
    </xf>
    <xf numFmtId="0" fontId="106" fillId="0" borderId="57" xfId="100" applyFont="1" applyBorder="1" applyAlignment="1" applyProtection="1">
      <alignment/>
      <protection/>
    </xf>
    <xf numFmtId="49" fontId="106" fillId="0" borderId="62" xfId="100" applyNumberFormat="1" applyFont="1" applyBorder="1" applyAlignment="1" applyProtection="1">
      <alignment horizontal="center" vertical="center"/>
      <protection/>
    </xf>
    <xf numFmtId="0" fontId="106" fillId="0" borderId="57" xfId="100" applyFont="1" applyBorder="1" applyAlignment="1" applyProtection="1">
      <alignment horizontal="left" vertical="center"/>
      <protection/>
    </xf>
    <xf numFmtId="0" fontId="107" fillId="0" borderId="72" xfId="100" applyFont="1" applyBorder="1" applyAlignment="1" applyProtection="1">
      <alignment horizontal="center" vertical="center"/>
      <protection/>
    </xf>
    <xf numFmtId="0" fontId="106" fillId="0" borderId="21" xfId="100" applyFont="1" applyBorder="1" applyAlignment="1" applyProtection="1">
      <alignment wrapText="1"/>
      <protection/>
    </xf>
    <xf numFmtId="0" fontId="108" fillId="0" borderId="0" xfId="105" applyFont="1" applyAlignment="1">
      <alignment/>
      <protection/>
    </xf>
    <xf numFmtId="0" fontId="0" fillId="0" borderId="0" xfId="0" applyAlignment="1">
      <alignment/>
    </xf>
    <xf numFmtId="0" fontId="30" fillId="0" borderId="16" xfId="0" applyFont="1" applyBorder="1" applyAlignment="1">
      <alignment horizontal="center" vertical="center" wrapText="1"/>
    </xf>
    <xf numFmtId="0" fontId="30" fillId="0" borderId="15" xfId="0" applyFont="1" applyBorder="1" applyAlignment="1">
      <alignment wrapText="1"/>
    </xf>
    <xf numFmtId="0" fontId="30" fillId="0" borderId="57" xfId="0" applyFont="1" applyBorder="1" applyAlignment="1">
      <alignment wrapText="1"/>
    </xf>
    <xf numFmtId="3" fontId="30" fillId="0" borderId="62" xfId="0" applyNumberFormat="1" applyFont="1" applyBorder="1" applyAlignment="1">
      <alignment/>
    </xf>
    <xf numFmtId="3" fontId="30" fillId="53" borderId="20" xfId="0" applyNumberFormat="1" applyFont="1" applyFill="1" applyBorder="1" applyAlignment="1">
      <alignment/>
    </xf>
    <xf numFmtId="0" fontId="28" fillId="0" borderId="15" xfId="0" applyFont="1" applyBorder="1" applyAlignment="1">
      <alignment wrapText="1"/>
    </xf>
    <xf numFmtId="0" fontId="30" fillId="0" borderId="17" xfId="0" applyFont="1" applyBorder="1" applyAlignment="1">
      <alignment wrapText="1"/>
    </xf>
    <xf numFmtId="0" fontId="109" fillId="0" borderId="0" xfId="0" applyFont="1" applyFill="1" applyAlignment="1">
      <alignment/>
    </xf>
    <xf numFmtId="0" fontId="110" fillId="0" borderId="100" xfId="0" applyFont="1" applyFill="1" applyBorder="1" applyAlignment="1">
      <alignment horizontal="center" vertical="center" wrapText="1"/>
    </xf>
    <xf numFmtId="3" fontId="111" fillId="0" borderId="90" xfId="0" applyNumberFormat="1" applyFont="1" applyFill="1" applyBorder="1" applyAlignment="1">
      <alignment vertical="center"/>
    </xf>
    <xf numFmtId="3" fontId="109" fillId="0" borderId="0" xfId="0" applyNumberFormat="1" applyFont="1" applyFill="1" applyAlignment="1">
      <alignment/>
    </xf>
    <xf numFmtId="3" fontId="111" fillId="0" borderId="0" xfId="0" applyNumberFormat="1" applyFont="1" applyFill="1" applyBorder="1" applyAlignment="1">
      <alignment vertical="center"/>
    </xf>
    <xf numFmtId="3" fontId="112" fillId="0" borderId="0" xfId="0" applyNumberFormat="1" applyFont="1" applyFill="1" applyAlignment="1">
      <alignment/>
    </xf>
    <xf numFmtId="3" fontId="109" fillId="0" borderId="90" xfId="0" applyNumberFormat="1" applyFont="1" applyFill="1" applyBorder="1" applyAlignment="1">
      <alignment/>
    </xf>
    <xf numFmtId="3" fontId="64" fillId="0" borderId="0" xfId="0" applyNumberFormat="1" applyFont="1" applyAlignment="1">
      <alignment/>
    </xf>
    <xf numFmtId="0" fontId="81" fillId="0" borderId="101" xfId="0" applyFont="1" applyBorder="1" applyAlignment="1">
      <alignment horizontal="center" vertical="center" wrapText="1"/>
    </xf>
    <xf numFmtId="0" fontId="81" fillId="0" borderId="102" xfId="0" applyFont="1" applyBorder="1" applyAlignment="1">
      <alignment horizontal="center" vertical="center" wrapText="1"/>
    </xf>
    <xf numFmtId="0" fontId="82" fillId="0" borderId="94" xfId="0" applyFont="1" applyBorder="1" applyAlignment="1">
      <alignment/>
    </xf>
    <xf numFmtId="0" fontId="82" fillId="0" borderId="103" xfId="0" applyFont="1" applyBorder="1" applyAlignment="1">
      <alignment/>
    </xf>
    <xf numFmtId="0" fontId="82" fillId="0" borderId="80" xfId="0" applyFont="1" applyBorder="1" applyAlignment="1">
      <alignment/>
    </xf>
    <xf numFmtId="3" fontId="81" fillId="0" borderId="67" xfId="0" applyNumberFormat="1" applyFont="1" applyBorder="1" applyAlignment="1">
      <alignment horizontal="center" vertical="center" wrapText="1"/>
    </xf>
    <xf numFmtId="3" fontId="81" fillId="0" borderId="104" xfId="0" applyNumberFormat="1" applyFont="1" applyBorder="1" applyAlignment="1">
      <alignment horizontal="center" vertical="center" wrapText="1"/>
    </xf>
    <xf numFmtId="3" fontId="81" fillId="0" borderId="51" xfId="0" applyNumberFormat="1" applyFont="1" applyBorder="1" applyAlignment="1">
      <alignment horizontal="center" vertical="center" wrapText="1"/>
    </xf>
    <xf numFmtId="3" fontId="81" fillId="0" borderId="27" xfId="0" applyNumberFormat="1" applyFont="1" applyBorder="1" applyAlignment="1">
      <alignment horizontal="center" vertical="center" wrapText="1"/>
    </xf>
    <xf numFmtId="0" fontId="81" fillId="0" borderId="13" xfId="0" applyFont="1" applyBorder="1" applyAlignment="1">
      <alignment/>
    </xf>
    <xf numFmtId="0" fontId="81" fillId="0" borderId="14" xfId="0" applyFont="1" applyBorder="1" applyAlignment="1">
      <alignment/>
    </xf>
    <xf numFmtId="3" fontId="81" fillId="0" borderId="105" xfId="0" applyNumberFormat="1" applyFont="1" applyBorder="1" applyAlignment="1">
      <alignment/>
    </xf>
    <xf numFmtId="3" fontId="81" fillId="0" borderId="74" xfId="0" applyNumberFormat="1" applyFont="1" applyBorder="1" applyAlignment="1">
      <alignment/>
    </xf>
    <xf numFmtId="10" fontId="81" fillId="0" borderId="32" xfId="0" applyNumberFormat="1" applyFont="1" applyBorder="1" applyAlignment="1">
      <alignment/>
    </xf>
    <xf numFmtId="0" fontId="81" fillId="0" borderId="13" xfId="0" applyFont="1" applyBorder="1" applyAlignment="1">
      <alignment/>
    </xf>
    <xf numFmtId="0" fontId="82" fillId="0" borderId="14" xfId="0" applyFont="1" applyBorder="1" applyAlignment="1">
      <alignment/>
    </xf>
    <xf numFmtId="3" fontId="81" fillId="0" borderId="105" xfId="0" applyNumberFormat="1" applyFont="1" applyBorder="1" applyAlignment="1">
      <alignment/>
    </xf>
    <xf numFmtId="3" fontId="81" fillId="0" borderId="74" xfId="0" applyNumberFormat="1" applyFont="1" applyBorder="1" applyAlignment="1">
      <alignment/>
    </xf>
    <xf numFmtId="3" fontId="81" fillId="0" borderId="31" xfId="0" applyNumberFormat="1" applyFont="1" applyBorder="1" applyAlignment="1">
      <alignment/>
    </xf>
    <xf numFmtId="10" fontId="81" fillId="0" borderId="39" xfId="0" applyNumberFormat="1" applyFont="1" applyBorder="1" applyAlignment="1">
      <alignment/>
    </xf>
    <xf numFmtId="0" fontId="82" fillId="0" borderId="15" xfId="0" applyFont="1" applyBorder="1" applyAlignment="1">
      <alignment/>
    </xf>
    <xf numFmtId="3" fontId="82" fillId="0" borderId="57" xfId="0" applyNumberFormat="1" applyFont="1" applyBorder="1" applyAlignment="1">
      <alignment/>
    </xf>
    <xf numFmtId="3" fontId="82" fillId="0" borderId="106" xfId="0" applyNumberFormat="1" applyFont="1" applyBorder="1" applyAlignment="1">
      <alignment/>
    </xf>
    <xf numFmtId="3" fontId="82" fillId="0" borderId="25" xfId="0" applyNumberFormat="1" applyFont="1" applyBorder="1" applyAlignment="1">
      <alignment/>
    </xf>
    <xf numFmtId="10" fontId="82" fillId="0" borderId="32" xfId="0" applyNumberFormat="1" applyFont="1" applyBorder="1" applyAlignment="1">
      <alignment/>
    </xf>
    <xf numFmtId="0" fontId="81" fillId="0" borderId="15" xfId="0" applyFont="1" applyBorder="1" applyAlignment="1">
      <alignment/>
    </xf>
    <xf numFmtId="0" fontId="82" fillId="0" borderId="16" xfId="0" applyFont="1" applyBorder="1" applyAlignment="1">
      <alignment/>
    </xf>
    <xf numFmtId="3" fontId="81" fillId="0" borderId="62" xfId="0" applyNumberFormat="1" applyFont="1" applyBorder="1" applyAlignment="1">
      <alignment/>
    </xf>
    <xf numFmtId="0" fontId="82" fillId="0" borderId="25" xfId="0" applyFont="1" applyBorder="1" applyAlignment="1">
      <alignment/>
    </xf>
    <xf numFmtId="0" fontId="82" fillId="0" borderId="32" xfId="0" applyFont="1" applyBorder="1" applyAlignment="1">
      <alignment/>
    </xf>
    <xf numFmtId="49" fontId="82" fillId="0" borderId="16" xfId="112" applyNumberFormat="1" applyFont="1" applyBorder="1" applyAlignment="1">
      <alignment wrapText="1"/>
      <protection/>
    </xf>
    <xf numFmtId="3" fontId="82" fillId="0" borderId="62" xfId="0" applyNumberFormat="1" applyFont="1" applyBorder="1" applyAlignment="1">
      <alignment/>
    </xf>
    <xf numFmtId="0" fontId="82" fillId="0" borderId="15" xfId="0" applyFont="1" applyBorder="1" applyAlignment="1">
      <alignment vertical="center"/>
    </xf>
    <xf numFmtId="0" fontId="82" fillId="0" borderId="57" xfId="0" applyFont="1" applyBorder="1" applyAlignment="1">
      <alignment/>
    </xf>
    <xf numFmtId="3" fontId="82" fillId="0" borderId="65" xfId="0" applyNumberFormat="1" applyFont="1" applyBorder="1" applyAlignment="1">
      <alignment/>
    </xf>
    <xf numFmtId="0" fontId="81" fillId="0" borderId="15" xfId="0" applyFont="1" applyBorder="1" applyAlignment="1">
      <alignment horizontal="left"/>
    </xf>
    <xf numFmtId="0" fontId="81" fillId="0" borderId="16" xfId="0" applyFont="1" applyBorder="1" applyAlignment="1">
      <alignment horizontal="left"/>
    </xf>
    <xf numFmtId="3" fontId="81" fillId="0" borderId="62" xfId="0" applyNumberFormat="1" applyFont="1" applyBorder="1" applyAlignment="1">
      <alignment/>
    </xf>
    <xf numFmtId="3" fontId="81" fillId="0" borderId="25" xfId="0" applyNumberFormat="1" applyFont="1" applyBorder="1" applyAlignment="1">
      <alignment/>
    </xf>
    <xf numFmtId="3" fontId="81" fillId="0" borderId="32" xfId="0" applyNumberFormat="1" applyFont="1" applyBorder="1" applyAlignment="1">
      <alignment/>
    </xf>
    <xf numFmtId="0" fontId="81" fillId="0" borderId="15" xfId="0" applyFont="1" applyBorder="1" applyAlignment="1">
      <alignment horizontal="left"/>
    </xf>
    <xf numFmtId="0" fontId="81" fillId="0" borderId="15" xfId="0" applyFont="1" applyBorder="1" applyAlignment="1">
      <alignment/>
    </xf>
    <xf numFmtId="0" fontId="82" fillId="0" borderId="16" xfId="0" applyFont="1" applyBorder="1" applyAlignment="1">
      <alignment/>
    </xf>
    <xf numFmtId="0" fontId="82" fillId="0" borderId="62" xfId="0" applyFont="1" applyBorder="1" applyAlignment="1">
      <alignment/>
    </xf>
    <xf numFmtId="0" fontId="82" fillId="0" borderId="15" xfId="0" applyFont="1" applyBorder="1" applyAlignment="1">
      <alignment/>
    </xf>
    <xf numFmtId="3" fontId="82" fillId="0" borderId="62" xfId="0" applyNumberFormat="1" applyFont="1" applyBorder="1" applyAlignment="1">
      <alignment/>
    </xf>
    <xf numFmtId="3" fontId="82" fillId="0" borderId="25" xfId="0" applyNumberFormat="1" applyFont="1" applyBorder="1" applyAlignment="1">
      <alignment/>
    </xf>
    <xf numFmtId="0" fontId="81" fillId="0" borderId="15" xfId="0" applyFont="1" applyBorder="1" applyAlignment="1">
      <alignment/>
    </xf>
    <xf numFmtId="0" fontId="82" fillId="0" borderId="16" xfId="0" applyFont="1" applyBorder="1" applyAlignment="1">
      <alignment/>
    </xf>
    <xf numFmtId="3" fontId="81" fillId="0" borderId="62" xfId="0" applyNumberFormat="1" applyFont="1" applyBorder="1" applyAlignment="1">
      <alignment/>
    </xf>
    <xf numFmtId="3" fontId="81" fillId="0" borderId="25" xfId="0" applyNumberFormat="1" applyFont="1" applyBorder="1" applyAlignment="1">
      <alignment/>
    </xf>
    <xf numFmtId="3" fontId="81" fillId="0" borderId="32" xfId="0" applyNumberFormat="1" applyFont="1" applyBorder="1" applyAlignment="1">
      <alignment/>
    </xf>
    <xf numFmtId="0" fontId="81" fillId="0" borderId="32" xfId="0" applyFont="1" applyBorder="1" applyAlignment="1">
      <alignment horizontal="left"/>
    </xf>
    <xf numFmtId="0" fontId="81" fillId="0" borderId="57" xfId="0" applyFont="1" applyBorder="1" applyAlignment="1">
      <alignment horizontal="left"/>
    </xf>
    <xf numFmtId="0" fontId="82" fillId="0" borderId="32" xfId="0" applyFont="1" applyBorder="1" applyAlignment="1">
      <alignment/>
    </xf>
    <xf numFmtId="0" fontId="77" fillId="0" borderId="16" xfId="0" applyFont="1" applyBorder="1" applyAlignment="1">
      <alignment/>
    </xf>
    <xf numFmtId="0" fontId="81" fillId="0" borderId="16" xfId="0" applyFont="1" applyBorder="1" applyAlignment="1">
      <alignment/>
    </xf>
    <xf numFmtId="0" fontId="82" fillId="0" borderId="16" xfId="0" applyFont="1" applyBorder="1" applyAlignment="1">
      <alignment/>
    </xf>
    <xf numFmtId="3" fontId="82" fillId="0" borderId="62" xfId="0" applyNumberFormat="1" applyFont="1" applyBorder="1" applyAlignment="1">
      <alignment/>
    </xf>
    <xf numFmtId="3" fontId="82" fillId="0" borderId="25" xfId="0" applyNumberFormat="1" applyFont="1" applyBorder="1" applyAlignment="1">
      <alignment/>
    </xf>
    <xf numFmtId="3" fontId="82" fillId="0" borderId="32" xfId="0" applyNumberFormat="1" applyFont="1" applyBorder="1" applyAlignment="1">
      <alignment/>
    </xf>
    <xf numFmtId="10" fontId="82" fillId="0" borderId="39" xfId="0" applyNumberFormat="1" applyFont="1" applyBorder="1" applyAlignment="1">
      <alignment/>
    </xf>
    <xf numFmtId="0" fontId="82" fillId="0" borderId="16" xfId="0" applyFont="1" applyBorder="1" applyAlignment="1">
      <alignment horizontal="left"/>
    </xf>
    <xf numFmtId="3" fontId="82" fillId="0" borderId="32" xfId="0" applyNumberFormat="1" applyFont="1" applyBorder="1" applyAlignment="1">
      <alignment/>
    </xf>
    <xf numFmtId="0" fontId="83" fillId="0" borderId="16" xfId="0" applyFont="1" applyBorder="1" applyAlignment="1">
      <alignment/>
    </xf>
    <xf numFmtId="3" fontId="83" fillId="0" borderId="62" xfId="0" applyNumberFormat="1" applyFont="1" applyBorder="1" applyAlignment="1">
      <alignment/>
    </xf>
    <xf numFmtId="3" fontId="83" fillId="0" borderId="25" xfId="0" applyNumberFormat="1" applyFont="1" applyBorder="1" applyAlignment="1">
      <alignment/>
    </xf>
    <xf numFmtId="3" fontId="83" fillId="0" borderId="32" xfId="0" applyNumberFormat="1" applyFont="1" applyBorder="1" applyAlignment="1">
      <alignment/>
    </xf>
    <xf numFmtId="0" fontId="84" fillId="0" borderId="16" xfId="0" applyFont="1" applyBorder="1" applyAlignment="1">
      <alignment horizontal="left" wrapText="1"/>
    </xf>
    <xf numFmtId="0" fontId="83" fillId="0" borderId="16" xfId="0" applyFont="1" applyBorder="1" applyAlignment="1">
      <alignment/>
    </xf>
    <xf numFmtId="0" fontId="82" fillId="0" borderId="15" xfId="0" applyFont="1" applyBorder="1" applyAlignment="1">
      <alignment horizontal="left" wrapText="1"/>
    </xf>
    <xf numFmtId="49" fontId="82" fillId="0" borderId="16" xfId="0" applyNumberFormat="1" applyFont="1" applyBorder="1" applyAlignment="1">
      <alignment/>
    </xf>
    <xf numFmtId="3" fontId="82" fillId="0" borderId="32" xfId="0" applyNumberFormat="1" applyFont="1" applyBorder="1" applyAlignment="1">
      <alignment/>
    </xf>
    <xf numFmtId="3" fontId="81" fillId="0" borderId="106" xfId="0" applyNumberFormat="1" applyFont="1" applyBorder="1" applyAlignment="1">
      <alignment/>
    </xf>
    <xf numFmtId="0" fontId="82" fillId="0" borderId="62" xfId="0" applyFont="1" applyBorder="1" applyAlignment="1">
      <alignment/>
    </xf>
    <xf numFmtId="0" fontId="81" fillId="0" borderId="32" xfId="0" applyFont="1" applyBorder="1" applyAlignment="1">
      <alignment/>
    </xf>
    <xf numFmtId="49" fontId="82" fillId="0" borderId="107" xfId="112" applyNumberFormat="1" applyFont="1" applyBorder="1" applyAlignment="1">
      <alignment wrapText="1"/>
      <protection/>
    </xf>
    <xf numFmtId="3" fontId="82" fillId="0" borderId="65" xfId="0" applyNumberFormat="1" applyFont="1" applyBorder="1" applyAlignment="1">
      <alignment/>
    </xf>
    <xf numFmtId="0" fontId="82" fillId="0" borderId="62" xfId="0" applyFont="1" applyBorder="1" applyAlignment="1">
      <alignment/>
    </xf>
    <xf numFmtId="0" fontId="83" fillId="0" borderId="57" xfId="0" applyFont="1" applyBorder="1" applyAlignment="1">
      <alignment wrapText="1"/>
    </xf>
    <xf numFmtId="0" fontId="82" fillId="0" borderId="15" xfId="0" applyFont="1" applyBorder="1" applyAlignment="1">
      <alignment/>
    </xf>
    <xf numFmtId="0" fontId="77" fillId="0" borderId="57" xfId="0" applyFont="1" applyBorder="1" applyAlignment="1">
      <alignment/>
    </xf>
    <xf numFmtId="0" fontId="81" fillId="0" borderId="15" xfId="0" applyFont="1" applyBorder="1" applyAlignment="1">
      <alignment/>
    </xf>
    <xf numFmtId="0" fontId="85" fillId="0" borderId="57" xfId="0" applyFont="1" applyBorder="1" applyAlignment="1">
      <alignment/>
    </xf>
    <xf numFmtId="49" fontId="81" fillId="0" borderId="15" xfId="0" applyNumberFormat="1" applyFont="1" applyBorder="1" applyAlignment="1">
      <alignment/>
    </xf>
    <xf numFmtId="3" fontId="81" fillId="0" borderId="62" xfId="0" applyNumberFormat="1" applyFont="1" applyBorder="1" applyAlignment="1">
      <alignment/>
    </xf>
    <xf numFmtId="3" fontId="81" fillId="0" borderId="25" xfId="0" applyNumberFormat="1" applyFont="1" applyBorder="1" applyAlignment="1">
      <alignment/>
    </xf>
    <xf numFmtId="0" fontId="81" fillId="0" borderId="16" xfId="0" applyFont="1" applyBorder="1" applyAlignment="1">
      <alignment/>
    </xf>
    <xf numFmtId="3" fontId="81" fillId="0" borderId="25" xfId="0" applyNumberFormat="1" applyFont="1" applyBorder="1" applyAlignment="1">
      <alignment/>
    </xf>
    <xf numFmtId="3" fontId="81" fillId="0" borderId="32" xfId="0" applyNumberFormat="1" applyFont="1" applyBorder="1" applyAlignment="1">
      <alignment/>
    </xf>
    <xf numFmtId="0" fontId="81" fillId="0" borderId="32" xfId="0" applyFont="1" applyBorder="1" applyAlignment="1">
      <alignment/>
    </xf>
    <xf numFmtId="0" fontId="81" fillId="0" borderId="57" xfId="0" applyFont="1" applyBorder="1" applyAlignment="1">
      <alignment/>
    </xf>
    <xf numFmtId="3" fontId="82" fillId="0" borderId="62" xfId="0" applyNumberFormat="1" applyFont="1" applyBorder="1" applyAlignment="1">
      <alignment horizontal="right" wrapText="1"/>
    </xf>
    <xf numFmtId="3" fontId="82" fillId="0" borderId="32" xfId="0" applyNumberFormat="1" applyFont="1" applyBorder="1" applyAlignment="1">
      <alignment horizontal="right" wrapText="1"/>
    </xf>
    <xf numFmtId="3" fontId="81" fillId="0" borderId="62" xfId="0" applyNumberFormat="1" applyFont="1" applyBorder="1" applyAlignment="1">
      <alignment horizontal="right" wrapText="1"/>
    </xf>
    <xf numFmtId="3" fontId="81" fillId="0" borderId="25" xfId="0" applyNumberFormat="1" applyFont="1" applyBorder="1" applyAlignment="1">
      <alignment horizontal="right" wrapText="1"/>
    </xf>
    <xf numFmtId="0" fontId="82" fillId="0" borderId="57" xfId="0" applyFont="1" applyBorder="1" applyAlignment="1">
      <alignment wrapText="1"/>
    </xf>
    <xf numFmtId="3" fontId="82" fillId="0" borderId="25" xfId="0" applyNumberFormat="1" applyFont="1" applyBorder="1" applyAlignment="1">
      <alignment horizontal="right" wrapText="1"/>
    </xf>
    <xf numFmtId="3" fontId="82" fillId="0" borderId="25" xfId="0" applyNumberFormat="1" applyFont="1" applyBorder="1" applyAlignment="1">
      <alignment horizontal="right" vertical="center" wrapText="1"/>
    </xf>
    <xf numFmtId="49" fontId="82" fillId="0" borderId="16" xfId="0" applyNumberFormat="1" applyFont="1" applyBorder="1" applyAlignment="1">
      <alignment horizontal="left" wrapText="1"/>
    </xf>
    <xf numFmtId="49" fontId="81" fillId="0" borderId="15" xfId="0" applyNumberFormat="1" applyFont="1" applyBorder="1" applyAlignment="1">
      <alignment horizontal="left" wrapText="1"/>
    </xf>
    <xf numFmtId="49" fontId="81" fillId="0" borderId="16" xfId="0" applyNumberFormat="1" applyFont="1" applyBorder="1" applyAlignment="1">
      <alignment horizontal="left" wrapText="1"/>
    </xf>
    <xf numFmtId="3" fontId="81" fillId="0" borderId="32" xfId="0" applyNumberFormat="1" applyFont="1" applyBorder="1" applyAlignment="1">
      <alignment horizontal="right" wrapText="1"/>
    </xf>
    <xf numFmtId="3" fontId="81" fillId="0" borderId="16" xfId="0" applyNumberFormat="1" applyFont="1" applyBorder="1" applyAlignment="1">
      <alignment/>
    </xf>
    <xf numFmtId="0" fontId="81" fillId="0" borderId="17" xfId="0" applyFont="1" applyBorder="1" applyAlignment="1">
      <alignment/>
    </xf>
    <xf numFmtId="3" fontId="81" fillId="0" borderId="18" xfId="0" applyNumberFormat="1" applyFont="1" applyBorder="1" applyAlignment="1">
      <alignment/>
    </xf>
    <xf numFmtId="3" fontId="81" fillId="0" borderId="64" xfId="0" applyNumberFormat="1" applyFont="1" applyBorder="1" applyAlignment="1">
      <alignment/>
    </xf>
    <xf numFmtId="3" fontId="81" fillId="0" borderId="38" xfId="0" applyNumberFormat="1" applyFont="1" applyBorder="1" applyAlignment="1">
      <alignment/>
    </xf>
    <xf numFmtId="10" fontId="81" fillId="0" borderId="38" xfId="0" applyNumberFormat="1" applyFont="1" applyBorder="1" applyAlignment="1">
      <alignment/>
    </xf>
    <xf numFmtId="3" fontId="81" fillId="0" borderId="17" xfId="0" applyNumberFormat="1" applyFont="1" applyBorder="1" applyAlignment="1">
      <alignment/>
    </xf>
    <xf numFmtId="0" fontId="82" fillId="0" borderId="18" xfId="0" applyFont="1" applyBorder="1" applyAlignment="1">
      <alignment/>
    </xf>
    <xf numFmtId="3" fontId="81" fillId="0" borderId="64" xfId="0" applyNumberFormat="1" applyFont="1" applyBorder="1" applyAlignment="1">
      <alignment/>
    </xf>
    <xf numFmtId="3" fontId="81" fillId="0" borderId="38" xfId="0" applyNumberFormat="1" applyFont="1" applyBorder="1" applyAlignment="1">
      <alignment/>
    </xf>
    <xf numFmtId="3" fontId="81" fillId="0" borderId="33" xfId="0" applyNumberFormat="1" applyFont="1" applyBorder="1" applyAlignment="1">
      <alignment/>
    </xf>
    <xf numFmtId="0" fontId="81" fillId="0" borderId="0" xfId="0" applyFont="1" applyBorder="1" applyAlignment="1">
      <alignment/>
    </xf>
    <xf numFmtId="3" fontId="81" fillId="0" borderId="0" xfId="0" applyNumberFormat="1" applyFont="1" applyBorder="1" applyAlignment="1">
      <alignment/>
    </xf>
    <xf numFmtId="3" fontId="81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3" fontId="81" fillId="0" borderId="0" xfId="0" applyNumberFormat="1" applyFont="1" applyBorder="1" applyAlignment="1">
      <alignment/>
    </xf>
    <xf numFmtId="0" fontId="82" fillId="0" borderId="0" xfId="0" applyFont="1" applyAlignment="1">
      <alignment/>
    </xf>
    <xf numFmtId="3" fontId="82" fillId="0" borderId="0" xfId="0" applyNumberFormat="1" applyFont="1" applyAlignment="1">
      <alignment/>
    </xf>
    <xf numFmtId="0" fontId="82" fillId="0" borderId="13" xfId="0" applyFont="1" applyBorder="1" applyAlignment="1">
      <alignment/>
    </xf>
    <xf numFmtId="3" fontId="81" fillId="0" borderId="14" xfId="0" applyNumberFormat="1" applyFont="1" applyBorder="1" applyAlignment="1">
      <alignment vertical="center"/>
    </xf>
    <xf numFmtId="3" fontId="81" fillId="0" borderId="14" xfId="0" applyNumberFormat="1" applyFont="1" applyBorder="1" applyAlignment="1">
      <alignment horizontal="center" wrapText="1"/>
    </xf>
    <xf numFmtId="0" fontId="81" fillId="0" borderId="30" xfId="0" applyFont="1" applyBorder="1" applyAlignment="1">
      <alignment horizontal="center" vertical="center"/>
    </xf>
    <xf numFmtId="0" fontId="81" fillId="0" borderId="0" xfId="0" applyFont="1" applyBorder="1" applyAlignment="1">
      <alignment wrapText="1"/>
    </xf>
    <xf numFmtId="0" fontId="81" fillId="0" borderId="0" xfId="0" applyFont="1" applyBorder="1" applyAlignment="1">
      <alignment/>
    </xf>
    <xf numFmtId="3" fontId="82" fillId="0" borderId="16" xfId="0" applyNumberFormat="1" applyFont="1" applyBorder="1" applyAlignment="1">
      <alignment/>
    </xf>
    <xf numFmtId="3" fontId="81" fillId="0" borderId="20" xfId="0" applyNumberFormat="1" applyFont="1" applyBorder="1" applyAlignment="1">
      <alignment/>
    </xf>
    <xf numFmtId="3" fontId="82" fillId="0" borderId="0" xfId="0" applyNumberFormat="1" applyFont="1" applyBorder="1" applyAlignment="1">
      <alignment/>
    </xf>
    <xf numFmtId="0" fontId="81" fillId="0" borderId="0" xfId="0" applyFont="1" applyAlignment="1">
      <alignment/>
    </xf>
    <xf numFmtId="3" fontId="82" fillId="0" borderId="16" xfId="0" applyNumberFormat="1" applyFont="1" applyBorder="1" applyAlignment="1">
      <alignment/>
    </xf>
    <xf numFmtId="0" fontId="81" fillId="0" borderId="17" xfId="0" applyFont="1" applyBorder="1" applyAlignment="1">
      <alignment horizontal="left"/>
    </xf>
    <xf numFmtId="3" fontId="82" fillId="0" borderId="18" xfId="0" applyNumberFormat="1" applyFont="1" applyBorder="1" applyAlignment="1">
      <alignment/>
    </xf>
    <xf numFmtId="3" fontId="81" fillId="0" borderId="19" xfId="0" applyNumberFormat="1" applyFont="1" applyBorder="1" applyAlignment="1">
      <alignment/>
    </xf>
    <xf numFmtId="0" fontId="35" fillId="0" borderId="84" xfId="103" applyFont="1" applyBorder="1">
      <alignment/>
      <protection/>
    </xf>
    <xf numFmtId="3" fontId="35" fillId="0" borderId="87" xfId="103" applyNumberFormat="1" applyFont="1" applyBorder="1">
      <alignment/>
      <protection/>
    </xf>
    <xf numFmtId="0" fontId="31" fillId="0" borderId="0" xfId="110" applyFont="1" applyAlignment="1">
      <alignment wrapText="1"/>
      <protection/>
    </xf>
    <xf numFmtId="0" fontId="31" fillId="0" borderId="0" xfId="110" applyFont="1">
      <alignment/>
      <protection/>
    </xf>
    <xf numFmtId="0" fontId="31" fillId="0" borderId="0" xfId="110" applyFont="1" applyAlignment="1">
      <alignment horizontal="center" wrapText="1"/>
      <protection/>
    </xf>
    <xf numFmtId="3" fontId="31" fillId="0" borderId="0" xfId="110" applyNumberFormat="1" applyFont="1">
      <alignment/>
      <protection/>
    </xf>
    <xf numFmtId="3" fontId="31" fillId="0" borderId="0" xfId="110" applyNumberFormat="1" applyFont="1" applyAlignment="1">
      <alignment wrapText="1"/>
      <protection/>
    </xf>
    <xf numFmtId="3" fontId="32" fillId="0" borderId="18" xfId="110" applyNumberFormat="1" applyFont="1" applyBorder="1" applyAlignment="1">
      <alignment horizontal="center" vertical="center" wrapText="1"/>
      <protection/>
    </xf>
    <xf numFmtId="0" fontId="31" fillId="0" borderId="34" xfId="110" applyFont="1" applyFill="1" applyBorder="1" applyAlignment="1">
      <alignment vertical="center" wrapText="1"/>
      <protection/>
    </xf>
    <xf numFmtId="14" fontId="31" fillId="0" borderId="21" xfId="110" applyNumberFormat="1" applyFont="1" applyBorder="1" applyAlignment="1">
      <alignment horizontal="center" vertical="center" wrapText="1"/>
      <protection/>
    </xf>
    <xf numFmtId="3" fontId="31" fillId="0" borderId="21" xfId="110" applyNumberFormat="1" applyFont="1" applyBorder="1" applyAlignment="1">
      <alignment vertical="center"/>
      <protection/>
    </xf>
    <xf numFmtId="3" fontId="31" fillId="0" borderId="65" xfId="110" applyNumberFormat="1" applyFont="1" applyBorder="1" applyAlignment="1">
      <alignment vertical="center"/>
      <protection/>
    </xf>
    <xf numFmtId="3" fontId="31" fillId="0" borderId="21" xfId="110" applyNumberFormat="1" applyFont="1" applyBorder="1" applyAlignment="1">
      <alignment vertical="center" wrapText="1"/>
      <protection/>
    </xf>
    <xf numFmtId="3" fontId="31" fillId="0" borderId="22" xfId="110" applyNumberFormat="1" applyFont="1" applyBorder="1" applyAlignment="1">
      <alignment vertical="center" wrapText="1"/>
      <protection/>
    </xf>
    <xf numFmtId="0" fontId="31" fillId="0" borderId="15" xfId="110" applyFont="1" applyFill="1" applyBorder="1" applyAlignment="1">
      <alignment vertical="center" wrapText="1"/>
      <protection/>
    </xf>
    <xf numFmtId="14" fontId="31" fillId="0" borderId="16" xfId="110" applyNumberFormat="1" applyFont="1" applyBorder="1" applyAlignment="1">
      <alignment horizontal="center" vertical="center" wrapText="1"/>
      <protection/>
    </xf>
    <xf numFmtId="3" fontId="31" fillId="0" borderId="16" xfId="110" applyNumberFormat="1" applyFont="1" applyBorder="1" applyAlignment="1">
      <alignment vertical="center"/>
      <protection/>
    </xf>
    <xf numFmtId="3" fontId="31" fillId="0" borderId="62" xfId="110" applyNumberFormat="1" applyFont="1" applyBorder="1" applyAlignment="1">
      <alignment vertical="center"/>
      <protection/>
    </xf>
    <xf numFmtId="3" fontId="31" fillId="0" borderId="16" xfId="110" applyNumberFormat="1" applyFont="1" applyBorder="1" applyAlignment="1">
      <alignment vertical="center" wrapText="1"/>
      <protection/>
    </xf>
    <xf numFmtId="3" fontId="31" fillId="0" borderId="20" xfId="110" applyNumberFormat="1" applyFont="1" applyBorder="1" applyAlignment="1">
      <alignment vertical="center" wrapText="1"/>
      <protection/>
    </xf>
    <xf numFmtId="14" fontId="31" fillId="0" borderId="16" xfId="110" applyNumberFormat="1" applyFont="1" applyFill="1" applyBorder="1" applyAlignment="1">
      <alignment horizontal="center" vertical="center" wrapText="1"/>
      <protection/>
    </xf>
    <xf numFmtId="3" fontId="31" fillId="0" borderId="16" xfId="110" applyNumberFormat="1" applyFont="1" applyFill="1" applyBorder="1" applyAlignment="1">
      <alignment vertical="center"/>
      <protection/>
    </xf>
    <xf numFmtId="3" fontId="31" fillId="0" borderId="62" xfId="110" applyNumberFormat="1" applyFont="1" applyFill="1" applyBorder="1" applyAlignment="1">
      <alignment vertical="center"/>
      <protection/>
    </xf>
    <xf numFmtId="3" fontId="31" fillId="0" borderId="16" xfId="110" applyNumberFormat="1" applyFont="1" applyFill="1" applyBorder="1" applyAlignment="1">
      <alignment vertical="center" wrapText="1"/>
      <protection/>
    </xf>
    <xf numFmtId="3" fontId="31" fillId="0" borderId="20" xfId="110" applyNumberFormat="1" applyFont="1" applyFill="1" applyBorder="1" applyAlignment="1">
      <alignment vertical="center" wrapText="1"/>
      <protection/>
    </xf>
    <xf numFmtId="0" fontId="31" fillId="52" borderId="15" xfId="110" applyFont="1" applyFill="1" applyBorder="1" applyAlignment="1">
      <alignment vertical="center" wrapText="1"/>
      <protection/>
    </xf>
    <xf numFmtId="14" fontId="31" fillId="52" borderId="16" xfId="110" applyNumberFormat="1" applyFont="1" applyFill="1" applyBorder="1" applyAlignment="1">
      <alignment horizontal="center" vertical="center" wrapText="1"/>
      <protection/>
    </xf>
    <xf numFmtId="3" fontId="31" fillId="52" borderId="16" xfId="110" applyNumberFormat="1" applyFont="1" applyFill="1" applyBorder="1" applyAlignment="1">
      <alignment vertical="center"/>
      <protection/>
    </xf>
    <xf numFmtId="3" fontId="31" fillId="52" borderId="62" xfId="110" applyNumberFormat="1" applyFont="1" applyFill="1" applyBorder="1" applyAlignment="1">
      <alignment vertical="center"/>
      <protection/>
    </xf>
    <xf numFmtId="3" fontId="31" fillId="52" borderId="16" xfId="110" applyNumberFormat="1" applyFont="1" applyFill="1" applyBorder="1" applyAlignment="1">
      <alignment vertical="center" wrapText="1"/>
      <protection/>
    </xf>
    <xf numFmtId="3" fontId="31" fillId="52" borderId="20" xfId="110" applyNumberFormat="1" applyFont="1" applyFill="1" applyBorder="1" applyAlignment="1">
      <alignment vertical="center" wrapText="1"/>
      <protection/>
    </xf>
    <xf numFmtId="14" fontId="28" fillId="52" borderId="16" xfId="110" applyNumberFormat="1" applyFont="1" applyFill="1" applyBorder="1" applyAlignment="1">
      <alignment horizontal="center" vertical="center" wrapText="1"/>
      <protection/>
    </xf>
    <xf numFmtId="0" fontId="31" fillId="52" borderId="35" xfId="110" applyFont="1" applyFill="1" applyBorder="1" applyAlignment="1">
      <alignment vertical="center" wrapText="1"/>
      <protection/>
    </xf>
    <xf numFmtId="14" fontId="31" fillId="52" borderId="28" xfId="110" applyNumberFormat="1" applyFont="1" applyFill="1" applyBorder="1" applyAlignment="1">
      <alignment horizontal="center" vertical="center" wrapText="1"/>
      <protection/>
    </xf>
    <xf numFmtId="3" fontId="31" fillId="52" borderId="28" xfId="110" applyNumberFormat="1" applyFont="1" applyFill="1" applyBorder="1" applyAlignment="1">
      <alignment vertical="center"/>
      <protection/>
    </xf>
    <xf numFmtId="3" fontId="31" fillId="52" borderId="106" xfId="110" applyNumberFormat="1" applyFont="1" applyFill="1" applyBorder="1" applyAlignment="1">
      <alignment vertical="center"/>
      <protection/>
    </xf>
    <xf numFmtId="3" fontId="31" fillId="52" borderId="28" xfId="110" applyNumberFormat="1" applyFont="1" applyFill="1" applyBorder="1" applyAlignment="1">
      <alignment vertical="center" wrapText="1"/>
      <protection/>
    </xf>
    <xf numFmtId="3" fontId="31" fillId="52" borderId="66" xfId="110" applyNumberFormat="1" applyFont="1" applyFill="1" applyBorder="1" applyAlignment="1">
      <alignment vertical="center" wrapText="1"/>
      <protection/>
    </xf>
    <xf numFmtId="0" fontId="32" fillId="0" borderId="108" xfId="110" applyFont="1" applyBorder="1" applyAlignment="1">
      <alignment wrapText="1"/>
      <protection/>
    </xf>
    <xf numFmtId="0" fontId="32" fillId="0" borderId="109" xfId="110" applyFont="1" applyBorder="1">
      <alignment/>
      <protection/>
    </xf>
    <xf numFmtId="0" fontId="32" fillId="0" borderId="109" xfId="110" applyFont="1" applyBorder="1" applyAlignment="1">
      <alignment horizontal="center" wrapText="1"/>
      <protection/>
    </xf>
    <xf numFmtId="3" fontId="32" fillId="0" borderId="109" xfId="110" applyNumberFormat="1" applyFont="1" applyBorder="1">
      <alignment/>
      <protection/>
    </xf>
    <xf numFmtId="0" fontId="31" fillId="0" borderId="21" xfId="110" applyFont="1" applyBorder="1" applyAlignment="1">
      <alignment vertical="center" wrapText="1"/>
      <protection/>
    </xf>
    <xf numFmtId="0" fontId="31" fillId="0" borderId="16" xfId="110" applyFont="1" applyBorder="1" applyAlignment="1">
      <alignment vertical="center" wrapText="1"/>
      <protection/>
    </xf>
    <xf numFmtId="0" fontId="31" fillId="0" borderId="16" xfId="110" applyFont="1" applyFill="1" applyBorder="1" applyAlignment="1">
      <alignment vertical="center" wrapText="1"/>
      <protection/>
    </xf>
    <xf numFmtId="0" fontId="31" fillId="52" borderId="16" xfId="110" applyFont="1" applyFill="1" applyBorder="1" applyAlignment="1">
      <alignment vertical="center" wrapText="1"/>
      <protection/>
    </xf>
    <xf numFmtId="0" fontId="31" fillId="52" borderId="28" xfId="110" applyFont="1" applyFill="1" applyBorder="1" applyAlignment="1">
      <alignment vertical="center" wrapText="1"/>
      <protection/>
    </xf>
    <xf numFmtId="0" fontId="81" fillId="0" borderId="0" xfId="0" applyFont="1" applyAlignment="1">
      <alignment horizontal="center"/>
    </xf>
    <xf numFmtId="205" fontId="113" fillId="0" borderId="90" xfId="74" applyFont="1" applyFill="1" applyBorder="1" applyAlignment="1" applyProtection="1">
      <alignment horizontal="center" vertical="center" wrapText="1"/>
      <protection/>
    </xf>
    <xf numFmtId="205" fontId="113" fillId="0" borderId="90" xfId="74" applyFont="1" applyFill="1" applyBorder="1" applyAlignment="1" applyProtection="1">
      <alignment horizontal="center" vertical="center"/>
      <protection/>
    </xf>
    <xf numFmtId="205" fontId="114" fillId="0" borderId="90" xfId="74" applyFont="1" applyFill="1" applyBorder="1" applyAlignment="1" applyProtection="1">
      <alignment horizontal="center" vertical="center" wrapText="1"/>
      <protection/>
    </xf>
    <xf numFmtId="205" fontId="115" fillId="0" borderId="90" xfId="74" applyFont="1" applyFill="1" applyBorder="1" applyAlignment="1" applyProtection="1">
      <alignment vertical="center" wrapText="1"/>
      <protection/>
    </xf>
    <xf numFmtId="207" fontId="115" fillId="0" borderId="90" xfId="74" applyNumberFormat="1" applyFont="1" applyFill="1" applyBorder="1" applyAlignment="1" applyProtection="1">
      <alignment vertical="center"/>
      <protection/>
    </xf>
    <xf numFmtId="207" fontId="113" fillId="0" borderId="90" xfId="74" applyNumberFormat="1" applyFont="1" applyFill="1" applyBorder="1" applyAlignment="1" applyProtection="1">
      <alignment vertical="center"/>
      <protection/>
    </xf>
    <xf numFmtId="205" fontId="115" fillId="0" borderId="90" xfId="74" applyFont="1" applyFill="1" applyBorder="1" applyAlignment="1" applyProtection="1">
      <alignment horizontal="left" vertical="center" wrapText="1"/>
      <protection/>
    </xf>
    <xf numFmtId="205" fontId="113" fillId="0" borderId="90" xfId="74" applyFont="1" applyFill="1" applyBorder="1" applyAlignment="1" applyProtection="1">
      <alignment vertical="center" wrapText="1"/>
      <protection/>
    </xf>
    <xf numFmtId="205" fontId="113" fillId="0" borderId="90" xfId="74" applyFont="1" applyFill="1" applyBorder="1" applyAlignment="1" applyProtection="1">
      <alignment horizontal="left" vertical="center" wrapText="1"/>
      <protection/>
    </xf>
    <xf numFmtId="207" fontId="114" fillId="0" borderId="90" xfId="74" applyNumberFormat="1" applyFont="1" applyFill="1" applyBorder="1" applyAlignment="1" applyProtection="1">
      <alignment/>
      <protection/>
    </xf>
    <xf numFmtId="205" fontId="114" fillId="0" borderId="90" xfId="74" applyFont="1" applyFill="1" applyBorder="1" applyAlignment="1" applyProtection="1">
      <alignment wrapText="1"/>
      <protection/>
    </xf>
    <xf numFmtId="205" fontId="114" fillId="0" borderId="90" xfId="74" applyFont="1" applyFill="1" applyBorder="1" applyAlignment="1" applyProtection="1">
      <alignment/>
      <protection/>
    </xf>
    <xf numFmtId="0" fontId="0" fillId="0" borderId="16" xfId="105" applyFont="1" applyBorder="1">
      <alignment/>
      <protection/>
    </xf>
    <xf numFmtId="0" fontId="31" fillId="0" borderId="0" xfId="106" applyFont="1">
      <alignment/>
      <protection/>
    </xf>
    <xf numFmtId="0" fontId="32" fillId="0" borderId="0" xfId="117" applyFont="1" applyBorder="1" applyAlignment="1">
      <alignment horizontal="center" vertical="center"/>
      <protection/>
    </xf>
    <xf numFmtId="0" fontId="32" fillId="0" borderId="0" xfId="117" applyFont="1" applyBorder="1" applyAlignment="1">
      <alignment horizontal="center" vertical="center" wrapText="1"/>
      <protection/>
    </xf>
    <xf numFmtId="0" fontId="32" fillId="0" borderId="110" xfId="103" applyFont="1" applyBorder="1" applyAlignment="1">
      <alignment horizontal="center" vertical="center"/>
      <protection/>
    </xf>
    <xf numFmtId="0" fontId="32" fillId="0" borderId="111" xfId="103" applyFont="1" applyBorder="1" applyAlignment="1">
      <alignment horizontal="center" vertical="center" wrapText="1"/>
      <protection/>
    </xf>
    <xf numFmtId="0" fontId="32" fillId="0" borderId="112" xfId="103" applyFont="1" applyBorder="1" applyAlignment="1">
      <alignment horizontal="center" vertical="center" wrapText="1"/>
      <protection/>
    </xf>
    <xf numFmtId="0" fontId="31" fillId="0" borderId="113" xfId="103" applyFont="1" applyBorder="1">
      <alignment/>
      <protection/>
    </xf>
    <xf numFmtId="3" fontId="31" fillId="0" borderId="73" xfId="103" applyNumberFormat="1" applyFont="1" applyBorder="1" applyAlignment="1">
      <alignment vertical="center"/>
      <protection/>
    </xf>
    <xf numFmtId="0" fontId="31" fillId="0" borderId="114" xfId="103" applyFont="1" applyBorder="1" applyAlignment="1">
      <alignment vertical="center"/>
      <protection/>
    </xf>
    <xf numFmtId="0" fontId="31" fillId="0" borderId="113" xfId="103" applyFont="1" applyBorder="1" applyAlignment="1">
      <alignment vertical="top" wrapText="1"/>
      <protection/>
    </xf>
    <xf numFmtId="0" fontId="31" fillId="0" borderId="115" xfId="103" applyFont="1" applyBorder="1" applyAlignment="1">
      <alignment wrapText="1"/>
      <protection/>
    </xf>
    <xf numFmtId="3" fontId="31" fillId="0" borderId="116" xfId="103" applyNumberFormat="1" applyFont="1" applyBorder="1" applyAlignment="1">
      <alignment vertical="center"/>
      <protection/>
    </xf>
    <xf numFmtId="0" fontId="31" fillId="0" borderId="117" xfId="103" applyFont="1" applyBorder="1" applyAlignment="1">
      <alignment vertical="center"/>
      <protection/>
    </xf>
    <xf numFmtId="0" fontId="32" fillId="0" borderId="118" xfId="103" applyFont="1" applyBorder="1">
      <alignment/>
      <protection/>
    </xf>
    <xf numFmtId="3" fontId="32" fillId="0" borderId="119" xfId="103" applyNumberFormat="1" applyFont="1" applyBorder="1" applyAlignment="1">
      <alignment vertical="center"/>
      <protection/>
    </xf>
    <xf numFmtId="0" fontId="32" fillId="0" borderId="120" xfId="103" applyFont="1" applyBorder="1" applyAlignment="1">
      <alignment vertical="center"/>
      <protection/>
    </xf>
    <xf numFmtId="0" fontId="32" fillId="0" borderId="0" xfId="103" applyFont="1" applyBorder="1">
      <alignment/>
      <protection/>
    </xf>
    <xf numFmtId="3" fontId="32" fillId="0" borderId="0" xfId="103" applyNumberFormat="1" applyFont="1" applyBorder="1">
      <alignment/>
      <protection/>
    </xf>
    <xf numFmtId="0" fontId="0" fillId="0" borderId="0" xfId="103">
      <alignment/>
      <protection/>
    </xf>
    <xf numFmtId="0" fontId="31" fillId="0" borderId="84" xfId="106" applyFont="1" applyBorder="1" applyAlignment="1">
      <alignment horizontal="left" vertical="center" wrapText="1"/>
      <protection/>
    </xf>
    <xf numFmtId="3" fontId="31" fillId="0" borderId="73" xfId="106" applyNumberFormat="1" applyFont="1" applyBorder="1" applyAlignment="1">
      <alignment horizontal="right" vertical="center"/>
      <protection/>
    </xf>
    <xf numFmtId="0" fontId="31" fillId="0" borderId="0" xfId="106" applyFont="1" applyFill="1">
      <alignment/>
      <protection/>
    </xf>
    <xf numFmtId="0" fontId="0" fillId="0" borderId="0" xfId="103" applyFont="1" applyFill="1">
      <alignment/>
      <protection/>
    </xf>
    <xf numFmtId="0" fontId="32" fillId="0" borderId="0" xfId="106" applyFont="1" applyAlignment="1">
      <alignment vertical="center" wrapText="1"/>
      <protection/>
    </xf>
    <xf numFmtId="0" fontId="32" fillId="0" borderId="73" xfId="106" applyFont="1" applyBorder="1" applyAlignment="1">
      <alignment horizontal="center" vertical="center" wrapText="1"/>
      <protection/>
    </xf>
    <xf numFmtId="0" fontId="32" fillId="0" borderId="73" xfId="106" applyFont="1" applyBorder="1" applyAlignment="1">
      <alignment horizontal="center" vertical="center"/>
      <protection/>
    </xf>
    <xf numFmtId="0" fontId="31" fillId="0" borderId="84" xfId="106" applyFont="1" applyBorder="1" applyAlignment="1">
      <alignment/>
      <protection/>
    </xf>
    <xf numFmtId="0" fontId="31" fillId="0" borderId="73" xfId="106" applyFont="1" applyBorder="1" applyAlignment="1">
      <alignment horizontal="center" vertical="center"/>
      <protection/>
    </xf>
    <xf numFmtId="3" fontId="31" fillId="0" borderId="73" xfId="106" applyNumberFormat="1" applyFont="1" applyFill="1" applyBorder="1" applyAlignment="1">
      <alignment horizontal="center"/>
      <protection/>
    </xf>
    <xf numFmtId="1" fontId="31" fillId="0" borderId="73" xfId="106" applyNumberFormat="1" applyFont="1" applyFill="1" applyBorder="1" applyAlignment="1">
      <alignment horizontal="center" vertical="center"/>
      <protection/>
    </xf>
    <xf numFmtId="3" fontId="31" fillId="0" borderId="121" xfId="106" applyNumberFormat="1" applyFont="1" applyFill="1" applyBorder="1" applyAlignment="1">
      <alignment horizontal="right"/>
      <protection/>
    </xf>
    <xf numFmtId="3" fontId="31" fillId="0" borderId="73" xfId="106" applyNumberFormat="1" applyFont="1" applyFill="1" applyBorder="1">
      <alignment/>
      <protection/>
    </xf>
    <xf numFmtId="3" fontId="31" fillId="0" borderId="83" xfId="106" applyNumberFormat="1" applyFont="1" applyBorder="1">
      <alignment/>
      <protection/>
    </xf>
    <xf numFmtId="0" fontId="31" fillId="0" borderId="84" xfId="106" applyFont="1" applyBorder="1">
      <alignment/>
      <protection/>
    </xf>
    <xf numFmtId="3" fontId="31" fillId="0" borderId="73" xfId="106" applyNumberFormat="1" applyFont="1" applyFill="1" applyBorder="1" applyAlignment="1">
      <alignment horizontal="right"/>
      <protection/>
    </xf>
    <xf numFmtId="3" fontId="31" fillId="0" borderId="73" xfId="106" applyNumberFormat="1" applyFont="1" applyBorder="1">
      <alignment/>
      <protection/>
    </xf>
    <xf numFmtId="3" fontId="31" fillId="0" borderId="122" xfId="106" applyNumberFormat="1" applyFont="1" applyFill="1" applyBorder="1" applyAlignment="1">
      <alignment horizontal="right"/>
      <protection/>
    </xf>
    <xf numFmtId="3" fontId="31" fillId="0" borderId="116" xfId="106" applyNumberFormat="1" applyFont="1" applyBorder="1">
      <alignment/>
      <protection/>
    </xf>
    <xf numFmtId="0" fontId="32" fillId="0" borderId="85" xfId="106" applyFont="1" applyBorder="1" applyAlignment="1">
      <alignment vertical="center"/>
      <protection/>
    </xf>
    <xf numFmtId="3" fontId="32" fillId="0" borderId="86" xfId="106" applyNumberFormat="1" applyFont="1" applyBorder="1" applyAlignment="1">
      <alignment horizontal="right" vertical="center"/>
      <protection/>
    </xf>
    <xf numFmtId="0" fontId="28" fillId="0" borderId="0" xfId="106" applyFont="1">
      <alignment/>
      <protection/>
    </xf>
    <xf numFmtId="0" fontId="31" fillId="0" borderId="0" xfId="106" applyFont="1" applyBorder="1" applyAlignment="1">
      <alignment horizontal="center"/>
      <protection/>
    </xf>
    <xf numFmtId="0" fontId="32" fillId="0" borderId="0" xfId="106" applyFont="1" applyBorder="1" applyAlignment="1">
      <alignment horizontal="left" vertical="center" wrapText="1"/>
      <protection/>
    </xf>
    <xf numFmtId="0" fontId="106" fillId="0" borderId="123" xfId="100" applyFont="1" applyBorder="1" applyAlignment="1" applyProtection="1">
      <alignment/>
      <protection/>
    </xf>
    <xf numFmtId="49" fontId="106" fillId="0" borderId="123" xfId="100" applyNumberFormat="1" applyFont="1" applyBorder="1" applyAlignment="1" applyProtection="1">
      <alignment horizontal="center"/>
      <protection/>
    </xf>
    <xf numFmtId="0" fontId="106" fillId="0" borderId="123" xfId="100" applyFont="1" applyBorder="1" applyAlignment="1" applyProtection="1">
      <alignment horizontal="left"/>
      <protection/>
    </xf>
    <xf numFmtId="3" fontId="107" fillId="0" borderId="123" xfId="100" applyNumberFormat="1" applyFont="1" applyBorder="1" applyAlignment="1" applyProtection="1">
      <alignment/>
      <protection/>
    </xf>
    <xf numFmtId="3" fontId="106" fillId="0" borderId="123" xfId="100" applyNumberFormat="1" applyFont="1" applyBorder="1" applyAlignment="1" applyProtection="1">
      <alignment horizontal="right"/>
      <protection/>
    </xf>
    <xf numFmtId="0" fontId="81" fillId="0" borderId="0" xfId="0" applyFont="1" applyAlignment="1">
      <alignment horizontal="center" wrapText="1"/>
    </xf>
    <xf numFmtId="3" fontId="81" fillId="0" borderId="16" xfId="0" applyNumberFormat="1" applyFont="1" applyBorder="1" applyAlignment="1">
      <alignment horizontal="center" wrapText="1"/>
    </xf>
    <xf numFmtId="3" fontId="81" fillId="0" borderId="16" xfId="0" applyNumberFormat="1" applyFont="1" applyBorder="1" applyAlignment="1">
      <alignment horizontal="center" vertical="center" wrapText="1"/>
    </xf>
    <xf numFmtId="3" fontId="81" fillId="0" borderId="57" xfId="0" applyNumberFormat="1" applyFont="1" applyBorder="1" applyAlignment="1">
      <alignment horizontal="center" wrapText="1"/>
    </xf>
    <xf numFmtId="3" fontId="81" fillId="0" borderId="20" xfId="0" applyNumberFormat="1" applyFont="1" applyBorder="1" applyAlignment="1">
      <alignment horizontal="center" vertical="center" wrapText="1"/>
    </xf>
    <xf numFmtId="0" fontId="81" fillId="0" borderId="15" xfId="0" applyFont="1" applyBorder="1" applyAlignment="1">
      <alignment wrapText="1"/>
    </xf>
    <xf numFmtId="3" fontId="81" fillId="0" borderId="16" xfId="0" applyNumberFormat="1" applyFont="1" applyBorder="1" applyAlignment="1">
      <alignment wrapText="1"/>
    </xf>
    <xf numFmtId="3" fontId="81" fillId="0" borderId="57" xfId="0" applyNumberFormat="1" applyFont="1" applyBorder="1" applyAlignment="1">
      <alignment/>
    </xf>
    <xf numFmtId="37" fontId="81" fillId="0" borderId="16" xfId="0" applyNumberFormat="1" applyFont="1" applyBorder="1" applyAlignment="1">
      <alignment wrapText="1"/>
    </xf>
    <xf numFmtId="0" fontId="81" fillId="0" borderId="15" xfId="0" applyFont="1" applyBorder="1" applyAlignment="1">
      <alignment wrapText="1"/>
    </xf>
    <xf numFmtId="0" fontId="82" fillId="0" borderId="15" xfId="0" applyFont="1" applyBorder="1" applyAlignment="1">
      <alignment horizontal="left" wrapText="1"/>
    </xf>
    <xf numFmtId="3" fontId="82" fillId="0" borderId="16" xfId="0" applyNumberFormat="1" applyFont="1" applyBorder="1" applyAlignment="1">
      <alignment wrapText="1"/>
    </xf>
    <xf numFmtId="0" fontId="82" fillId="0" borderId="15" xfId="0" applyFont="1" applyBorder="1" applyAlignment="1">
      <alignment wrapText="1"/>
    </xf>
    <xf numFmtId="3" fontId="82" fillId="0" borderId="16" xfId="0" applyNumberFormat="1" applyFont="1" applyBorder="1" applyAlignment="1">
      <alignment wrapText="1"/>
    </xf>
    <xf numFmtId="0" fontId="83" fillId="0" borderId="15" xfId="0" applyFont="1" applyBorder="1" applyAlignment="1">
      <alignment wrapText="1"/>
    </xf>
    <xf numFmtId="3" fontId="83" fillId="0" borderId="16" xfId="0" applyNumberFormat="1" applyFont="1" applyBorder="1" applyAlignment="1">
      <alignment wrapText="1"/>
    </xf>
    <xf numFmtId="3" fontId="81" fillId="0" borderId="16" xfId="0" applyNumberFormat="1" applyFont="1" applyBorder="1" applyAlignment="1">
      <alignment wrapText="1"/>
    </xf>
    <xf numFmtId="3" fontId="81" fillId="0" borderId="16" xfId="0" applyNumberFormat="1" applyFont="1" applyBorder="1" applyAlignment="1">
      <alignment/>
    </xf>
    <xf numFmtId="0" fontId="81" fillId="0" borderId="17" xfId="0" applyFont="1" applyBorder="1" applyAlignment="1">
      <alignment wrapText="1"/>
    </xf>
    <xf numFmtId="3" fontId="81" fillId="0" borderId="18" xfId="0" applyNumberFormat="1" applyFont="1" applyBorder="1" applyAlignment="1">
      <alignment/>
    </xf>
    <xf numFmtId="3" fontId="81" fillId="0" borderId="54" xfId="0" applyNumberFormat="1" applyFont="1" applyBorder="1" applyAlignment="1">
      <alignment/>
    </xf>
    <xf numFmtId="0" fontId="66" fillId="0" borderId="0" xfId="0" applyFont="1" applyAlignment="1">
      <alignment/>
    </xf>
    <xf numFmtId="0" fontId="47" fillId="0" borderId="0" xfId="107" applyFont="1" applyAlignment="1">
      <alignment horizontal="center"/>
      <protection/>
    </xf>
    <xf numFmtId="0" fontId="69" fillId="0" borderId="0" xfId="107" applyFont="1" applyAlignment="1">
      <alignment/>
      <protection/>
    </xf>
    <xf numFmtId="0" fontId="47" fillId="0" borderId="14" xfId="107" applyFont="1" applyBorder="1" applyAlignment="1">
      <alignment horizontal="center" vertical="center" wrapText="1"/>
      <protection/>
    </xf>
    <xf numFmtId="0" fontId="47" fillId="0" borderId="30" xfId="107" applyFont="1" applyBorder="1" applyAlignment="1">
      <alignment horizontal="center" vertical="center" wrapText="1"/>
      <protection/>
    </xf>
    <xf numFmtId="3" fontId="69" fillId="0" borderId="16" xfId="107" applyNumberFormat="1" applyFont="1" applyBorder="1" applyAlignment="1">
      <alignment horizontal="right"/>
      <protection/>
    </xf>
    <xf numFmtId="3" fontId="47" fillId="0" borderId="16" xfId="107" applyNumberFormat="1" applyFont="1" applyBorder="1" applyAlignment="1">
      <alignment horizontal="right"/>
      <protection/>
    </xf>
    <xf numFmtId="3" fontId="47" fillId="0" borderId="20" xfId="107" applyNumberFormat="1" applyFont="1" applyBorder="1" applyAlignment="1">
      <alignment horizontal="right"/>
      <protection/>
    </xf>
    <xf numFmtId="0" fontId="69" fillId="0" borderId="15" xfId="107" applyFont="1" applyBorder="1">
      <alignment/>
      <protection/>
    </xf>
    <xf numFmtId="0" fontId="69" fillId="0" borderId="16" xfId="107" applyFont="1" applyBorder="1">
      <alignment/>
      <protection/>
    </xf>
    <xf numFmtId="0" fontId="69" fillId="0" borderId="15" xfId="107" applyFont="1" applyBorder="1" applyAlignment="1">
      <alignment horizontal="left"/>
      <protection/>
    </xf>
    <xf numFmtId="0" fontId="69" fillId="0" borderId="17" xfId="107" applyFont="1" applyBorder="1" applyAlignment="1">
      <alignment horizontal="left"/>
      <protection/>
    </xf>
    <xf numFmtId="0" fontId="69" fillId="0" borderId="18" xfId="107" applyFont="1" applyBorder="1">
      <alignment/>
      <protection/>
    </xf>
    <xf numFmtId="3" fontId="69" fillId="0" borderId="18" xfId="107" applyNumberFormat="1" applyFont="1" applyBorder="1" applyAlignment="1">
      <alignment horizontal="right"/>
      <protection/>
    </xf>
    <xf numFmtId="3" fontId="47" fillId="0" borderId="18" xfId="107" applyNumberFormat="1" applyFont="1" applyBorder="1" applyAlignment="1">
      <alignment horizontal="right"/>
      <protection/>
    </xf>
    <xf numFmtId="3" fontId="47" fillId="0" borderId="19" xfId="107" applyNumberFormat="1" applyFont="1" applyBorder="1" applyAlignment="1">
      <alignment horizontal="right"/>
      <protection/>
    </xf>
    <xf numFmtId="0" fontId="69" fillId="0" borderId="0" xfId="107" applyFont="1">
      <alignment/>
      <protection/>
    </xf>
    <xf numFmtId="0" fontId="69" fillId="0" borderId="0" xfId="103" applyFont="1" applyAlignment="1">
      <alignment horizontal="center" vertical="center" wrapText="1"/>
      <protection/>
    </xf>
    <xf numFmtId="0" fontId="69" fillId="0" borderId="0" xfId="103" applyFont="1" applyAlignment="1">
      <alignment vertical="center" wrapText="1"/>
      <protection/>
    </xf>
    <xf numFmtId="205" fontId="115" fillId="0" borderId="90" xfId="74" applyFont="1" applyFill="1" applyBorder="1" applyAlignment="1" applyProtection="1">
      <alignment horizontal="center" vertical="center" wrapText="1"/>
      <protection/>
    </xf>
    <xf numFmtId="205" fontId="114" fillId="0" borderId="90" xfId="74" applyFont="1" applyFill="1" applyBorder="1" applyAlignment="1" applyProtection="1">
      <alignment horizontal="center" vertical="center"/>
      <protection/>
    </xf>
    <xf numFmtId="0" fontId="86" fillId="0" borderId="90" xfId="0" applyFont="1" applyBorder="1" applyAlignment="1">
      <alignment/>
    </xf>
    <xf numFmtId="0" fontId="75" fillId="0" borderId="124" xfId="103" applyFont="1" applyBorder="1">
      <alignment/>
      <protection/>
    </xf>
    <xf numFmtId="0" fontId="89" fillId="0" borderId="0" xfId="104" applyFont="1">
      <alignment/>
      <protection/>
    </xf>
    <xf numFmtId="0" fontId="90" fillId="0" borderId="0" xfId="104" applyFont="1">
      <alignment/>
      <protection/>
    </xf>
    <xf numFmtId="0" fontId="90" fillId="0" borderId="73" xfId="104" applyFont="1" applyBorder="1" applyAlignment="1">
      <alignment horizontal="center" vertical="center"/>
      <protection/>
    </xf>
    <xf numFmtId="0" fontId="90" fillId="0" borderId="73" xfId="104" applyFont="1" applyBorder="1" applyAlignment="1">
      <alignment horizontal="center" vertical="center" wrapText="1"/>
      <protection/>
    </xf>
    <xf numFmtId="0" fontId="90" fillId="0" borderId="0" xfId="104" applyFont="1" applyAlignment="1">
      <alignment vertical="center"/>
      <protection/>
    </xf>
    <xf numFmtId="0" fontId="90" fillId="0" borderId="85" xfId="104" applyFont="1" applyBorder="1" applyAlignment="1">
      <alignment vertical="center" wrapText="1"/>
      <protection/>
    </xf>
    <xf numFmtId="3" fontId="90" fillId="0" borderId="86" xfId="104" applyNumberFormat="1" applyFont="1" applyBorder="1" applyAlignment="1">
      <alignment horizontal="center" vertical="center"/>
      <protection/>
    </xf>
    <xf numFmtId="3" fontId="90" fillId="0" borderId="87" xfId="104" applyNumberFormat="1" applyFont="1" applyBorder="1" applyAlignment="1">
      <alignment horizontal="center" vertical="center"/>
      <protection/>
    </xf>
    <xf numFmtId="0" fontId="90" fillId="0" borderId="0" xfId="104" applyFont="1" applyAlignment="1">
      <alignment horizontal="center"/>
      <protection/>
    </xf>
    <xf numFmtId="0" fontId="90" fillId="0" borderId="84" xfId="104" applyFont="1" applyBorder="1" applyAlignment="1">
      <alignment wrapText="1"/>
      <protection/>
    </xf>
    <xf numFmtId="0" fontId="90" fillId="0" borderId="73" xfId="104" applyFont="1" applyBorder="1">
      <alignment/>
      <protection/>
    </xf>
    <xf numFmtId="0" fontId="90" fillId="0" borderId="73" xfId="104" applyFont="1" applyBorder="1" applyAlignment="1">
      <alignment horizontal="center"/>
      <protection/>
    </xf>
    <xf numFmtId="3" fontId="90" fillId="0" borderId="73" xfId="104" applyNumberFormat="1" applyFont="1" applyBorder="1">
      <alignment/>
      <protection/>
    </xf>
    <xf numFmtId="1" fontId="90" fillId="0" borderId="73" xfId="104" applyNumberFormat="1" applyFont="1" applyBorder="1" applyAlignment="1">
      <alignment horizontal="center"/>
      <protection/>
    </xf>
    <xf numFmtId="176" fontId="90" fillId="0" borderId="73" xfId="104" applyNumberFormat="1" applyFont="1" applyBorder="1">
      <alignment/>
      <protection/>
    </xf>
    <xf numFmtId="3" fontId="90" fillId="0" borderId="83" xfId="104" applyNumberFormat="1" applyFont="1" applyBorder="1">
      <alignment/>
      <protection/>
    </xf>
    <xf numFmtId="0" fontId="90" fillId="0" borderId="85" xfId="104" applyFont="1" applyBorder="1">
      <alignment/>
      <protection/>
    </xf>
    <xf numFmtId="0" fontId="90" fillId="0" borderId="86" xfId="104" applyFont="1" applyBorder="1">
      <alignment/>
      <protection/>
    </xf>
    <xf numFmtId="3" fontId="90" fillId="0" borderId="86" xfId="104" applyNumberFormat="1" applyFont="1" applyBorder="1">
      <alignment/>
      <protection/>
    </xf>
    <xf numFmtId="176" fontId="90" fillId="0" borderId="86" xfId="104" applyNumberFormat="1" applyFont="1" applyBorder="1">
      <alignment/>
      <protection/>
    </xf>
    <xf numFmtId="3" fontId="90" fillId="0" borderId="87" xfId="104" applyNumberFormat="1" applyFont="1" applyBorder="1">
      <alignment/>
      <protection/>
    </xf>
    <xf numFmtId="3" fontId="90" fillId="0" borderId="0" xfId="104" applyNumberFormat="1" applyFont="1">
      <alignment/>
      <protection/>
    </xf>
    <xf numFmtId="0" fontId="90" fillId="0" borderId="0" xfId="0" applyFont="1" applyAlignment="1">
      <alignment/>
    </xf>
    <xf numFmtId="0" fontId="89" fillId="0" borderId="14" xfId="0" applyFont="1" applyBorder="1" applyAlignment="1">
      <alignment horizontal="center" vertical="center" wrapText="1"/>
    </xf>
    <xf numFmtId="0" fontId="89" fillId="0" borderId="30" xfId="0" applyFont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/>
    </xf>
    <xf numFmtId="3" fontId="89" fillId="0" borderId="16" xfId="0" applyNumberFormat="1" applyFont="1" applyFill="1" applyBorder="1" applyAlignment="1">
      <alignment vertical="center"/>
    </xf>
    <xf numFmtId="3" fontId="90" fillId="0" borderId="16" xfId="0" applyNumberFormat="1" applyFont="1" applyFill="1" applyBorder="1" applyAlignment="1">
      <alignment vertical="center"/>
    </xf>
    <xf numFmtId="3" fontId="90" fillId="0" borderId="20" xfId="0" applyNumberFormat="1" applyFont="1" applyFill="1" applyBorder="1" applyAlignment="1">
      <alignment vertical="center"/>
    </xf>
    <xf numFmtId="0" fontId="90" fillId="0" borderId="16" xfId="0" applyFont="1" applyFill="1" applyBorder="1" applyAlignment="1">
      <alignment horizontal="center" vertical="center"/>
    </xf>
    <xf numFmtId="0" fontId="89" fillId="0" borderId="18" xfId="0" applyFont="1" applyBorder="1" applyAlignment="1">
      <alignment vertical="center"/>
    </xf>
    <xf numFmtId="3" fontId="89" fillId="0" borderId="18" xfId="0" applyNumberFormat="1" applyFont="1" applyBorder="1" applyAlignment="1">
      <alignment vertical="center"/>
    </xf>
    <xf numFmtId="3" fontId="89" fillId="0" borderId="19" xfId="0" applyNumberFormat="1" applyFont="1" applyBorder="1" applyAlignment="1">
      <alignment vertical="center"/>
    </xf>
    <xf numFmtId="0" fontId="30" fillId="0" borderId="20" xfId="0" applyFont="1" applyBorder="1" applyAlignment="1">
      <alignment horizontal="center" vertical="center" wrapText="1"/>
    </xf>
    <xf numFmtId="0" fontId="106" fillId="0" borderId="13" xfId="100" applyFont="1" applyBorder="1" applyAlignment="1" applyProtection="1">
      <alignment/>
      <protection/>
    </xf>
    <xf numFmtId="49" fontId="106" fillId="0" borderId="14" xfId="100" applyNumberFormat="1" applyFont="1" applyBorder="1" applyAlignment="1" applyProtection="1">
      <alignment horizontal="center"/>
      <protection/>
    </xf>
    <xf numFmtId="0" fontId="106" fillId="0" borderId="14" xfId="100" applyFont="1" applyBorder="1" applyAlignment="1" applyProtection="1">
      <alignment/>
      <protection/>
    </xf>
    <xf numFmtId="3" fontId="106" fillId="0" borderId="14" xfId="100" applyNumberFormat="1" applyFont="1" applyBorder="1" applyAlignment="1" applyProtection="1">
      <alignment horizontal="left" wrapText="1"/>
      <protection/>
    </xf>
    <xf numFmtId="3" fontId="107" fillId="0" borderId="14" xfId="100" applyNumberFormat="1" applyFont="1" applyBorder="1" applyAlignment="1" applyProtection="1">
      <alignment/>
      <protection/>
    </xf>
    <xf numFmtId="3" fontId="106" fillId="0" borderId="14" xfId="100" applyNumberFormat="1" applyFont="1" applyBorder="1" applyAlignment="1" applyProtection="1">
      <alignment horizontal="right"/>
      <protection/>
    </xf>
    <xf numFmtId="0" fontId="106" fillId="0" borderId="30" xfId="100" applyFont="1" applyBorder="1" applyAlignment="1" applyProtection="1">
      <alignment/>
      <protection/>
    </xf>
    <xf numFmtId="3" fontId="0" fillId="0" borderId="0" xfId="0" applyNumberFormat="1" applyAlignment="1">
      <alignment/>
    </xf>
    <xf numFmtId="0" fontId="81" fillId="0" borderId="27" xfId="0" applyFont="1" applyBorder="1" applyAlignment="1">
      <alignment horizontal="center"/>
    </xf>
    <xf numFmtId="0" fontId="81" fillId="0" borderId="32" xfId="0" applyFont="1" applyBorder="1" applyAlignment="1">
      <alignment horizontal="left"/>
    </xf>
    <xf numFmtId="0" fontId="81" fillId="0" borderId="57" xfId="0" applyFont="1" applyBorder="1" applyAlignment="1">
      <alignment horizontal="left"/>
    </xf>
    <xf numFmtId="0" fontId="82" fillId="0" borderId="32" xfId="0" applyFont="1" applyBorder="1" applyAlignment="1">
      <alignment horizontal="left" vertical="center"/>
    </xf>
    <xf numFmtId="0" fontId="82" fillId="0" borderId="57" xfId="0" applyFont="1" applyBorder="1" applyAlignment="1">
      <alignment horizontal="left" vertical="center"/>
    </xf>
    <xf numFmtId="0" fontId="82" fillId="0" borderId="15" xfId="0" applyFont="1" applyBorder="1" applyAlignment="1">
      <alignment horizontal="center"/>
    </xf>
    <xf numFmtId="0" fontId="82" fillId="0" borderId="16" xfId="0" applyFont="1" applyBorder="1" applyAlignment="1">
      <alignment horizontal="center"/>
    </xf>
    <xf numFmtId="0" fontId="81" fillId="0" borderId="32" xfId="0" applyFont="1" applyBorder="1" applyAlignment="1">
      <alignment/>
    </xf>
    <xf numFmtId="0" fontId="81" fillId="0" borderId="57" xfId="0" applyFont="1" applyBorder="1" applyAlignment="1">
      <alignment/>
    </xf>
    <xf numFmtId="49" fontId="81" fillId="0" borderId="15" xfId="0" applyNumberFormat="1" applyFont="1" applyBorder="1" applyAlignment="1">
      <alignment horizontal="left" wrapText="1"/>
    </xf>
    <xf numFmtId="49" fontId="81" fillId="0" borderId="16" xfId="0" applyNumberFormat="1" applyFont="1" applyBorder="1" applyAlignment="1">
      <alignment horizontal="left" wrapText="1"/>
    </xf>
    <xf numFmtId="0" fontId="81" fillId="0" borderId="15" xfId="0" applyFont="1" applyBorder="1" applyAlignment="1">
      <alignment/>
    </xf>
    <xf numFmtId="0" fontId="86" fillId="0" borderId="16" xfId="0" applyFont="1" applyBorder="1" applyAlignment="1">
      <alignment/>
    </xf>
    <xf numFmtId="49" fontId="81" fillId="0" borderId="32" xfId="0" applyNumberFormat="1" applyFont="1" applyBorder="1" applyAlignment="1">
      <alignment horizontal="left" wrapText="1"/>
    </xf>
    <xf numFmtId="49" fontId="81" fillId="0" borderId="57" xfId="0" applyNumberFormat="1" applyFont="1" applyBorder="1" applyAlignment="1">
      <alignment horizontal="left" wrapText="1"/>
    </xf>
    <xf numFmtId="0" fontId="81" fillId="0" borderId="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81" fillId="0" borderId="53" xfId="0" applyFont="1" applyBorder="1" applyAlignment="1">
      <alignment horizontal="center" vertical="center" wrapText="1"/>
    </xf>
    <xf numFmtId="0" fontId="81" fillId="0" borderId="101" xfId="0" applyFont="1" applyBorder="1" applyAlignment="1">
      <alignment horizontal="center" vertical="center" wrapText="1"/>
    </xf>
    <xf numFmtId="0" fontId="81" fillId="0" borderId="91" xfId="0" applyFont="1" applyBorder="1" applyAlignment="1">
      <alignment horizontal="center"/>
    </xf>
    <xf numFmtId="0" fontId="81" fillId="0" borderId="92" xfId="0" applyFont="1" applyBorder="1" applyAlignment="1">
      <alignment horizontal="center"/>
    </xf>
    <xf numFmtId="0" fontId="81" fillId="0" borderId="50" xfId="0" applyFont="1" applyBorder="1" applyAlignment="1">
      <alignment horizontal="center"/>
    </xf>
    <xf numFmtId="0" fontId="81" fillId="0" borderId="125" xfId="0" applyFont="1" applyBorder="1" applyAlignment="1">
      <alignment horizontal="center"/>
    </xf>
    <xf numFmtId="0" fontId="82" fillId="0" borderId="32" xfId="0" applyFont="1" applyBorder="1" applyAlignment="1">
      <alignment horizontal="left"/>
    </xf>
    <xf numFmtId="0" fontId="82" fillId="0" borderId="57" xfId="0" applyFont="1" applyBorder="1" applyAlignment="1">
      <alignment horizontal="left"/>
    </xf>
    <xf numFmtId="0" fontId="38" fillId="0" borderId="0" xfId="112" applyFont="1" applyBorder="1" applyAlignment="1">
      <alignment horizontal="center"/>
      <protection/>
    </xf>
    <xf numFmtId="0" fontId="38" fillId="0" borderId="53" xfId="112" applyFont="1" applyBorder="1" applyAlignment="1">
      <alignment horizontal="center"/>
      <protection/>
    </xf>
    <xf numFmtId="0" fontId="38" fillId="0" borderId="101" xfId="112" applyFont="1" applyBorder="1" applyAlignment="1">
      <alignment horizontal="center"/>
      <protection/>
    </xf>
    <xf numFmtId="0" fontId="38" fillId="0" borderId="102" xfId="112" applyFont="1" applyBorder="1" applyAlignment="1">
      <alignment horizontal="center"/>
      <protection/>
    </xf>
    <xf numFmtId="0" fontId="47" fillId="0" borderId="0" xfId="0" applyFont="1" applyAlignment="1">
      <alignment horizontal="center" shrinkToFit="1"/>
    </xf>
    <xf numFmtId="0" fontId="47" fillId="0" borderId="105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/>
    </xf>
    <xf numFmtId="0" fontId="87" fillId="0" borderId="105" xfId="0" applyFont="1" applyBorder="1" applyAlignment="1">
      <alignment horizontal="center" vertical="center" wrapText="1"/>
    </xf>
    <xf numFmtId="0" fontId="87" fillId="0" borderId="61" xfId="0" applyFont="1" applyBorder="1" applyAlignment="1">
      <alignment horizontal="center" vertical="center" wrapText="1"/>
    </xf>
    <xf numFmtId="0" fontId="87" fillId="0" borderId="55" xfId="0" applyFont="1" applyBorder="1" applyAlignment="1">
      <alignment horizontal="center" vertical="center" wrapText="1"/>
    </xf>
    <xf numFmtId="0" fontId="87" fillId="0" borderId="105" xfId="0" applyFont="1" applyBorder="1" applyAlignment="1">
      <alignment horizontal="center" vertical="center"/>
    </xf>
    <xf numFmtId="0" fontId="87" fillId="0" borderId="61" xfId="0" applyFont="1" applyBorder="1" applyAlignment="1">
      <alignment horizontal="center" vertical="center"/>
    </xf>
    <xf numFmtId="0" fontId="87" fillId="0" borderId="56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 wrapText="1"/>
    </xf>
    <xf numFmtId="0" fontId="86" fillId="0" borderId="15" xfId="0" applyFont="1" applyBorder="1" applyAlignment="1">
      <alignment wrapText="1"/>
    </xf>
    <xf numFmtId="0" fontId="47" fillId="0" borderId="0" xfId="105" applyFont="1" applyBorder="1" applyAlignment="1">
      <alignment horizontal="center"/>
      <protection/>
    </xf>
    <xf numFmtId="0" fontId="107" fillId="0" borderId="105" xfId="100" applyFont="1" applyBorder="1" applyAlignment="1" applyProtection="1">
      <alignment horizontal="center" wrapText="1"/>
      <protection/>
    </xf>
    <xf numFmtId="0" fontId="107" fillId="0" borderId="61" xfId="100" applyFont="1" applyBorder="1" applyAlignment="1" applyProtection="1">
      <alignment horizontal="center" wrapText="1"/>
      <protection/>
    </xf>
    <xf numFmtId="0" fontId="107" fillId="0" borderId="55" xfId="100" applyFont="1" applyBorder="1" applyAlignment="1" applyProtection="1">
      <alignment horizontal="center" wrapText="1"/>
      <protection/>
    </xf>
    <xf numFmtId="0" fontId="107" fillId="0" borderId="105" xfId="100" applyFont="1" applyBorder="1" applyAlignment="1" applyProtection="1">
      <alignment horizontal="center"/>
      <protection/>
    </xf>
    <xf numFmtId="0" fontId="107" fillId="0" borderId="61" xfId="100" applyFont="1" applyBorder="1" applyAlignment="1" applyProtection="1">
      <alignment horizontal="center"/>
      <protection/>
    </xf>
    <xf numFmtId="0" fontId="107" fillId="0" borderId="55" xfId="100" applyFont="1" applyBorder="1" applyAlignment="1" applyProtection="1">
      <alignment horizontal="center"/>
      <protection/>
    </xf>
    <xf numFmtId="0" fontId="28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center"/>
    </xf>
    <xf numFmtId="0" fontId="107" fillId="0" borderId="126" xfId="73" applyFont="1" applyFill="1" applyBorder="1" applyAlignment="1">
      <alignment horizontal="center" vertical="center"/>
    </xf>
    <xf numFmtId="0" fontId="107" fillId="0" borderId="90" xfId="73" applyFont="1" applyFill="1" applyBorder="1" applyAlignment="1">
      <alignment horizontal="center"/>
    </xf>
    <xf numFmtId="3" fontId="107" fillId="0" borderId="126" xfId="73" applyNumberFormat="1" applyFont="1" applyFill="1" applyBorder="1" applyAlignment="1">
      <alignment horizontal="center" vertical="center" wrapText="1"/>
    </xf>
    <xf numFmtId="0" fontId="107" fillId="0" borderId="126" xfId="73" applyFont="1" applyFill="1" applyBorder="1" applyAlignment="1">
      <alignment horizontal="center" vertical="center" wrapText="1"/>
    </xf>
    <xf numFmtId="0" fontId="107" fillId="0" borderId="90" xfId="73" applyFont="1" applyFill="1" applyBorder="1" applyAlignment="1">
      <alignment horizontal="left" vertical="center"/>
    </xf>
    <xf numFmtId="0" fontId="28" fillId="0" borderId="90" xfId="0" applyFont="1" applyFill="1" applyBorder="1" applyAlignment="1">
      <alignment/>
    </xf>
    <xf numFmtId="205" fontId="116" fillId="0" borderId="90" xfId="74" applyFont="1" applyFill="1" applyBorder="1" applyAlignment="1" applyProtection="1">
      <alignment horizontal="center" vertical="center" wrapText="1"/>
      <protection/>
    </xf>
    <xf numFmtId="205" fontId="113" fillId="0" borderId="90" xfId="74" applyFont="1" applyFill="1" applyBorder="1" applyAlignment="1" applyProtection="1">
      <alignment horizontal="left" vertical="center" wrapText="1"/>
      <protection/>
    </xf>
    <xf numFmtId="207" fontId="115" fillId="0" borderId="90" xfId="74" applyNumberFormat="1" applyFont="1" applyFill="1" applyBorder="1" applyAlignment="1" applyProtection="1">
      <alignment vertical="center" wrapText="1"/>
      <protection/>
    </xf>
    <xf numFmtId="205" fontId="117" fillId="0" borderId="90" xfId="74" applyFont="1" applyFill="1" applyBorder="1" applyAlignment="1" applyProtection="1">
      <alignment wrapText="1"/>
      <protection/>
    </xf>
    <xf numFmtId="205" fontId="115" fillId="0" borderId="90" xfId="74" applyFont="1" applyFill="1" applyBorder="1" applyAlignment="1" applyProtection="1">
      <alignment horizontal="left" vertical="center" wrapText="1"/>
      <protection/>
    </xf>
    <xf numFmtId="205" fontId="114" fillId="0" borderId="90" xfId="74" applyFont="1" applyFill="1" applyBorder="1" applyAlignment="1" applyProtection="1">
      <alignment vertical="center" wrapText="1"/>
      <protection/>
    </xf>
    <xf numFmtId="205" fontId="114" fillId="0" borderId="90" xfId="74" applyFont="1" applyFill="1" applyBorder="1" applyAlignment="1" applyProtection="1">
      <alignment wrapText="1"/>
      <protection/>
    </xf>
    <xf numFmtId="205" fontId="114" fillId="0" borderId="90" xfId="74" applyFont="1" applyFill="1" applyBorder="1" applyAlignment="1" applyProtection="1">
      <alignment horizontal="left" vertical="center" wrapText="1"/>
      <protection/>
    </xf>
    <xf numFmtId="208" fontId="115" fillId="0" borderId="90" xfId="74" applyNumberFormat="1" applyFont="1" applyFill="1" applyBorder="1" applyAlignment="1" applyProtection="1">
      <alignment horizontal="left" vertical="center" wrapText="1"/>
      <protection/>
    </xf>
    <xf numFmtId="205" fontId="116" fillId="0" borderId="90" xfId="74" applyFont="1" applyFill="1" applyBorder="1" applyAlignment="1" applyProtection="1">
      <alignment horizontal="center" vertical="center"/>
      <protection/>
    </xf>
    <xf numFmtId="205" fontId="113" fillId="0" borderId="90" xfId="74" applyFont="1" applyFill="1" applyBorder="1" applyAlignment="1" applyProtection="1">
      <alignment horizontal="center" vertical="center" wrapText="1"/>
      <protection/>
    </xf>
    <xf numFmtId="0" fontId="86" fillId="0" borderId="90" xfId="0" applyFont="1" applyFill="1" applyBorder="1" applyAlignment="1">
      <alignment/>
    </xf>
    <xf numFmtId="0" fontId="51" fillId="0" borderId="14" xfId="111" applyFont="1" applyFill="1" applyBorder="1" applyAlignment="1">
      <alignment horizontal="center" vertical="center" wrapText="1"/>
      <protection/>
    </xf>
    <xf numFmtId="0" fontId="51" fillId="0" borderId="16" xfId="111" applyFont="1" applyFill="1" applyBorder="1" applyAlignment="1">
      <alignment horizontal="center" vertical="center" wrapText="1"/>
      <protection/>
    </xf>
    <xf numFmtId="0" fontId="51" fillId="0" borderId="30" xfId="111" applyFont="1" applyFill="1" applyBorder="1" applyAlignment="1">
      <alignment horizontal="center" vertical="center" wrapText="1"/>
      <protection/>
    </xf>
    <xf numFmtId="0" fontId="51" fillId="0" borderId="20" xfId="111" applyFont="1" applyFill="1" applyBorder="1" applyAlignment="1">
      <alignment horizontal="center" vertical="center" wrapText="1"/>
      <protection/>
    </xf>
    <xf numFmtId="0" fontId="30" fillId="0" borderId="0" xfId="111" applyFont="1" applyFill="1" applyBorder="1" applyAlignment="1">
      <alignment horizontal="center" vertical="center"/>
      <protection/>
    </xf>
    <xf numFmtId="0" fontId="51" fillId="0" borderId="13" xfId="111" applyFont="1" applyFill="1" applyBorder="1" applyAlignment="1">
      <alignment horizontal="center" vertical="center" wrapText="1"/>
      <protection/>
    </xf>
    <xf numFmtId="0" fontId="51" fillId="0" borderId="15" xfId="111" applyFont="1" applyFill="1" applyBorder="1" applyAlignment="1">
      <alignment horizontal="center" vertical="center" wrapText="1"/>
      <protection/>
    </xf>
    <xf numFmtId="0" fontId="51" fillId="0" borderId="14" xfId="111" applyFont="1" applyFill="1" applyBorder="1" applyAlignment="1">
      <alignment horizontal="center" vertical="center"/>
      <protection/>
    </xf>
    <xf numFmtId="0" fontId="49" fillId="0" borderId="0" xfId="111" applyFont="1" applyFill="1" applyBorder="1" applyAlignment="1">
      <alignment horizontal="center" vertical="center"/>
      <protection/>
    </xf>
    <xf numFmtId="0" fontId="32" fillId="52" borderId="0" xfId="108" applyFont="1" applyFill="1" applyAlignment="1">
      <alignment horizontal="center" vertical="center"/>
      <protection/>
    </xf>
    <xf numFmtId="0" fontId="32" fillId="52" borderId="13" xfId="108" applyFont="1" applyFill="1" applyBorder="1" applyAlignment="1">
      <alignment horizontal="center" vertical="center"/>
      <protection/>
    </xf>
    <xf numFmtId="0" fontId="32" fillId="52" borderId="14" xfId="108" applyFont="1" applyFill="1" applyBorder="1" applyAlignment="1">
      <alignment horizontal="center" vertical="center"/>
      <protection/>
    </xf>
    <xf numFmtId="0" fontId="32" fillId="52" borderId="30" xfId="108" applyFont="1" applyFill="1" applyBorder="1" applyAlignment="1">
      <alignment horizontal="center" vertical="center"/>
      <protection/>
    </xf>
    <xf numFmtId="0" fontId="32" fillId="52" borderId="15" xfId="108" applyFont="1" applyFill="1" applyBorder="1" applyAlignment="1">
      <alignment horizontal="center" vertical="center"/>
      <protection/>
    </xf>
    <xf numFmtId="0" fontId="32" fillId="52" borderId="16" xfId="108" applyFont="1" applyFill="1" applyBorder="1" applyAlignment="1">
      <alignment horizontal="center" vertical="center"/>
      <protection/>
    </xf>
    <xf numFmtId="0" fontId="32" fillId="52" borderId="20" xfId="108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32" fillId="0" borderId="0" xfId="108" applyFont="1" applyBorder="1" applyAlignment="1">
      <alignment horizontal="center" vertical="center" wrapText="1"/>
      <protection/>
    </xf>
    <xf numFmtId="0" fontId="32" fillId="0" borderId="0" xfId="108" applyFont="1" applyBorder="1" applyAlignment="1">
      <alignment horizontal="center"/>
      <protection/>
    </xf>
    <xf numFmtId="0" fontId="32" fillId="0" borderId="0" xfId="108" applyFont="1" applyBorder="1" applyAlignment="1">
      <alignment horizontal="center" vertical="center" wrapText="1"/>
      <protection/>
    </xf>
    <xf numFmtId="0" fontId="32" fillId="0" borderId="0" xfId="108" applyFont="1" applyBorder="1" applyAlignment="1">
      <alignment horizontal="center"/>
      <protection/>
    </xf>
    <xf numFmtId="0" fontId="30" fillId="0" borderId="31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 wrapText="1"/>
    </xf>
    <xf numFmtId="0" fontId="30" fillId="0" borderId="101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/>
    </xf>
    <xf numFmtId="0" fontId="30" fillId="0" borderId="101" xfId="0" applyFont="1" applyBorder="1" applyAlignment="1">
      <alignment horizontal="center" vertical="center"/>
    </xf>
    <xf numFmtId="0" fontId="71" fillId="0" borderId="15" xfId="107" applyFont="1" applyBorder="1" applyAlignment="1">
      <alignment horizontal="left"/>
      <protection/>
    </xf>
    <xf numFmtId="0" fontId="71" fillId="0" borderId="16" xfId="107" applyFont="1" applyBorder="1" applyAlignment="1">
      <alignment horizontal="left"/>
      <protection/>
    </xf>
    <xf numFmtId="0" fontId="47" fillId="0" borderId="0" xfId="107" applyFont="1" applyBorder="1" applyAlignment="1">
      <alignment horizontal="center" vertical="center"/>
      <protection/>
    </xf>
    <xf numFmtId="0" fontId="47" fillId="0" borderId="14" xfId="103" applyFont="1" applyBorder="1" applyAlignment="1">
      <alignment horizontal="center" vertical="center" wrapText="1"/>
      <protection/>
    </xf>
    <xf numFmtId="0" fontId="47" fillId="0" borderId="13" xfId="103" applyFont="1" applyBorder="1" applyAlignment="1">
      <alignment horizontal="center" vertical="center" wrapText="1"/>
      <protection/>
    </xf>
    <xf numFmtId="0" fontId="47" fillId="0" borderId="13" xfId="107" applyFont="1" applyBorder="1" applyAlignment="1">
      <alignment horizontal="center" vertical="center" wrapText="1"/>
      <protection/>
    </xf>
    <xf numFmtId="0" fontId="47" fillId="0" borderId="14" xfId="107" applyFont="1" applyBorder="1" applyAlignment="1">
      <alignment horizontal="center" vertical="center" wrapText="1"/>
      <protection/>
    </xf>
    <xf numFmtId="0" fontId="69" fillId="0" borderId="18" xfId="103" applyFont="1" applyBorder="1" applyAlignment="1">
      <alignment horizontal="center" vertical="center" wrapText="1"/>
      <protection/>
    </xf>
    <xf numFmtId="0" fontId="69" fillId="0" borderId="16" xfId="103" applyFont="1" applyBorder="1" applyAlignment="1">
      <alignment horizontal="center" vertical="center" wrapText="1"/>
      <protection/>
    </xf>
    <xf numFmtId="14" fontId="69" fillId="0" borderId="16" xfId="103" applyNumberFormat="1" applyFont="1" applyBorder="1" applyAlignment="1">
      <alignment horizontal="center" vertical="center" wrapText="1"/>
      <protection/>
    </xf>
    <xf numFmtId="0" fontId="69" fillId="0" borderId="15" xfId="103" applyFont="1" applyBorder="1" applyAlignment="1">
      <alignment horizontal="center" vertical="center" wrapText="1"/>
      <protection/>
    </xf>
    <xf numFmtId="0" fontId="69" fillId="0" borderId="17" xfId="103" applyFont="1" applyBorder="1" applyAlignment="1">
      <alignment horizontal="center" vertical="center" wrapText="1"/>
      <protection/>
    </xf>
    <xf numFmtId="0" fontId="88" fillId="0" borderId="0" xfId="107" applyFont="1" applyFill="1" applyBorder="1" applyAlignment="1">
      <alignment horizontal="center" vertical="center"/>
      <protection/>
    </xf>
    <xf numFmtId="0" fontId="69" fillId="0" borderId="19" xfId="103" applyFont="1" applyBorder="1" applyAlignment="1">
      <alignment horizontal="center" vertical="center" wrapText="1"/>
      <protection/>
    </xf>
    <xf numFmtId="0" fontId="69" fillId="0" borderId="20" xfId="103" applyFont="1" applyBorder="1" applyAlignment="1">
      <alignment horizontal="center" vertical="center" wrapText="1"/>
      <protection/>
    </xf>
    <xf numFmtId="0" fontId="47" fillId="0" borderId="30" xfId="103" applyFont="1" applyBorder="1" applyAlignment="1">
      <alignment horizontal="center" vertical="center" wrapText="1"/>
      <protection/>
    </xf>
    <xf numFmtId="0" fontId="47" fillId="0" borderId="0" xfId="103" applyFont="1" applyAlignment="1">
      <alignment horizontal="center" vertical="center" wrapText="1"/>
      <protection/>
    </xf>
    <xf numFmtId="49" fontId="69" fillId="0" borderId="18" xfId="103" applyNumberFormat="1" applyFont="1" applyBorder="1" applyAlignment="1">
      <alignment horizontal="center" vertical="center" wrapText="1"/>
      <protection/>
    </xf>
    <xf numFmtId="14" fontId="69" fillId="0" borderId="18" xfId="103" applyNumberFormat="1" applyFont="1" applyBorder="1" applyAlignment="1">
      <alignment horizontal="center" vertical="center" wrapText="1"/>
      <protection/>
    </xf>
    <xf numFmtId="49" fontId="69" fillId="0" borderId="16" xfId="103" applyNumberFormat="1" applyFont="1" applyBorder="1" applyAlignment="1">
      <alignment horizontal="center" vertical="center" wrapText="1"/>
      <protection/>
    </xf>
    <xf numFmtId="0" fontId="74" fillId="0" borderId="127" xfId="103" applyFont="1" applyBorder="1" applyAlignment="1">
      <alignment horizontal="center" wrapText="1"/>
      <protection/>
    </xf>
    <xf numFmtId="0" fontId="74" fillId="0" borderId="128" xfId="103" applyFont="1" applyBorder="1" applyAlignment="1">
      <alignment horizontal="center" wrapText="1"/>
      <protection/>
    </xf>
    <xf numFmtId="0" fontId="74" fillId="0" borderId="129" xfId="103" applyFont="1" applyBorder="1" applyAlignment="1">
      <alignment horizontal="center" wrapText="1"/>
      <protection/>
    </xf>
    <xf numFmtId="0" fontId="76" fillId="0" borderId="73" xfId="103" applyFont="1" applyBorder="1" applyAlignment="1">
      <alignment horizontal="center" vertical="center" wrapText="1"/>
      <protection/>
    </xf>
    <xf numFmtId="0" fontId="76" fillId="0" borderId="130" xfId="103" applyFont="1" applyBorder="1" applyAlignment="1">
      <alignment horizontal="center" vertical="center" wrapText="1"/>
      <protection/>
    </xf>
    <xf numFmtId="0" fontId="90" fillId="0" borderId="88" xfId="104" applyFont="1" applyBorder="1" applyAlignment="1">
      <alignment horizontal="center" vertical="center" wrapText="1"/>
      <protection/>
    </xf>
    <xf numFmtId="0" fontId="90" fillId="0" borderId="84" xfId="104" applyFont="1" applyBorder="1" applyAlignment="1">
      <alignment horizontal="center" vertical="center" wrapText="1"/>
      <protection/>
    </xf>
    <xf numFmtId="0" fontId="90" fillId="0" borderId="131" xfId="104" applyFont="1" applyBorder="1" applyAlignment="1">
      <alignment horizontal="center" vertical="center"/>
      <protection/>
    </xf>
    <xf numFmtId="0" fontId="90" fillId="0" borderId="89" xfId="104" applyFont="1" applyBorder="1" applyAlignment="1">
      <alignment horizontal="center" vertical="center" wrapText="1"/>
      <protection/>
    </xf>
    <xf numFmtId="0" fontId="90" fillId="0" borderId="83" xfId="104" applyFont="1" applyBorder="1" applyAlignment="1">
      <alignment horizontal="center" vertical="center" wrapText="1"/>
      <protection/>
    </xf>
    <xf numFmtId="0" fontId="89" fillId="0" borderId="0" xfId="104" applyFont="1" applyBorder="1" applyAlignment="1">
      <alignment horizontal="center" vertical="center"/>
      <protection/>
    </xf>
    <xf numFmtId="0" fontId="90" fillId="0" borderId="131" xfId="104" applyFont="1" applyBorder="1" applyAlignment="1">
      <alignment horizontal="center" vertical="center" wrapText="1"/>
      <protection/>
    </xf>
    <xf numFmtId="0" fontId="90" fillId="0" borderId="73" xfId="104" applyFont="1" applyBorder="1" applyAlignment="1">
      <alignment horizontal="center" vertical="center" wrapText="1"/>
      <protection/>
    </xf>
    <xf numFmtId="0" fontId="89" fillId="0" borderId="13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90" fillId="0" borderId="15" xfId="0" applyFont="1" applyFill="1" applyBorder="1" applyAlignment="1">
      <alignment horizontal="left" wrapText="1"/>
    </xf>
    <xf numFmtId="0" fontId="90" fillId="0" borderId="16" xfId="0" applyFont="1" applyFill="1" applyBorder="1" applyAlignment="1">
      <alignment horizontal="left" wrapText="1"/>
    </xf>
    <xf numFmtId="0" fontId="90" fillId="0" borderId="73" xfId="104" applyFont="1" applyBorder="1" applyAlignment="1">
      <alignment horizontal="center" vertical="center"/>
      <protection/>
    </xf>
    <xf numFmtId="0" fontId="90" fillId="0" borderId="88" xfId="104" applyFont="1" applyBorder="1" applyAlignment="1">
      <alignment horizontal="center" vertical="center"/>
      <protection/>
    </xf>
    <xf numFmtId="0" fontId="90" fillId="0" borderId="84" xfId="104" applyFont="1" applyBorder="1" applyAlignment="1">
      <alignment horizontal="center" vertical="center"/>
      <protection/>
    </xf>
    <xf numFmtId="0" fontId="90" fillId="0" borderId="15" xfId="0" applyFont="1" applyFill="1" applyBorder="1" applyAlignment="1">
      <alignment horizontal="left" vertical="center" wrapText="1"/>
    </xf>
    <xf numFmtId="0" fontId="90" fillId="0" borderId="16" xfId="0" applyFont="1" applyFill="1" applyBorder="1" applyAlignment="1">
      <alignment horizontal="left" vertical="center" wrapText="1"/>
    </xf>
    <xf numFmtId="0" fontId="89" fillId="0" borderId="17" xfId="0" applyFont="1" applyBorder="1" applyAlignment="1">
      <alignment horizontal="left" vertical="center" wrapText="1"/>
    </xf>
    <xf numFmtId="0" fontId="89" fillId="0" borderId="18" xfId="0" applyFont="1" applyBorder="1" applyAlignment="1">
      <alignment horizontal="left" vertical="center" wrapText="1"/>
    </xf>
    <xf numFmtId="0" fontId="89" fillId="0" borderId="0" xfId="0" applyFont="1" applyAlignment="1">
      <alignment horizontal="center"/>
    </xf>
    <xf numFmtId="0" fontId="30" fillId="0" borderId="81" xfId="109" applyFont="1" applyBorder="1" applyAlignment="1">
      <alignment horizontal="center" vertical="center"/>
      <protection/>
    </xf>
    <xf numFmtId="0" fontId="30" fillId="0" borderId="94" xfId="109" applyFont="1" applyBorder="1" applyAlignment="1">
      <alignment horizontal="center" vertical="center"/>
      <protection/>
    </xf>
    <xf numFmtId="0" fontId="30" fillId="0" borderId="95" xfId="109" applyFont="1" applyBorder="1" applyAlignment="1">
      <alignment horizontal="center" vertical="center"/>
      <protection/>
    </xf>
    <xf numFmtId="0" fontId="30" fillId="0" borderId="94" xfId="109" applyFont="1" applyBorder="1" applyAlignment="1">
      <alignment horizontal="center"/>
      <protection/>
    </xf>
    <xf numFmtId="0" fontId="30" fillId="0" borderId="95" xfId="109" applyFont="1" applyBorder="1" applyAlignment="1">
      <alignment horizontal="center"/>
      <protection/>
    </xf>
    <xf numFmtId="0" fontId="30" fillId="0" borderId="81" xfId="109" applyFont="1" applyBorder="1" applyAlignment="1">
      <alignment horizontal="center"/>
      <protection/>
    </xf>
    <xf numFmtId="0" fontId="30" fillId="0" borderId="0" xfId="109" applyFont="1" applyAlignment="1">
      <alignment horizontal="center"/>
      <protection/>
    </xf>
    <xf numFmtId="0" fontId="30" fillId="0" borderId="97" xfId="109" applyFont="1" applyBorder="1" applyAlignment="1">
      <alignment horizontal="center"/>
      <protection/>
    </xf>
    <xf numFmtId="0" fontId="30" fillId="0" borderId="98" xfId="109" applyFont="1" applyBorder="1" applyAlignment="1">
      <alignment horizontal="center"/>
      <protection/>
    </xf>
    <xf numFmtId="0" fontId="30" fillId="0" borderId="79" xfId="109" applyFont="1" applyBorder="1" applyAlignment="1">
      <alignment horizontal="center"/>
      <protection/>
    </xf>
    <xf numFmtId="0" fontId="45" fillId="0" borderId="0" xfId="115" applyFont="1" applyAlignment="1">
      <alignment horizontal="center" vertical="center"/>
      <protection/>
    </xf>
    <xf numFmtId="0" fontId="48" fillId="0" borderId="0" xfId="115" applyFont="1" applyAlignment="1">
      <alignment horizontal="center" vertical="center"/>
      <protection/>
    </xf>
    <xf numFmtId="0" fontId="45" fillId="0" borderId="91" xfId="115" applyFont="1" applyBorder="1" applyAlignment="1">
      <alignment horizontal="center" vertical="center" wrapText="1"/>
      <protection/>
    </xf>
    <xf numFmtId="0" fontId="45" fillId="0" borderId="52" xfId="115" applyFont="1" applyBorder="1" applyAlignment="1">
      <alignment horizontal="center" vertical="center" wrapText="1"/>
      <protection/>
    </xf>
    <xf numFmtId="0" fontId="45" fillId="0" borderId="53" xfId="115" applyFont="1" applyBorder="1" applyAlignment="1">
      <alignment horizontal="center" vertical="center"/>
      <protection/>
    </xf>
    <xf numFmtId="0" fontId="45" fillId="0" borderId="101" xfId="115" applyFont="1" applyBorder="1" applyAlignment="1">
      <alignment horizontal="center" vertical="center"/>
      <protection/>
    </xf>
    <xf numFmtId="0" fontId="45" fillId="0" borderId="102" xfId="115" applyFont="1" applyBorder="1" applyAlignment="1">
      <alignment horizontal="center" vertical="center"/>
      <protection/>
    </xf>
    <xf numFmtId="0" fontId="45" fillId="0" borderId="13" xfId="115" applyFont="1" applyBorder="1" applyAlignment="1">
      <alignment horizontal="center" vertical="center" wrapText="1"/>
      <protection/>
    </xf>
    <xf numFmtId="0" fontId="45" fillId="0" borderId="35" xfId="115" applyFont="1" applyBorder="1" applyAlignment="1">
      <alignment horizontal="center" vertical="center" wrapText="1"/>
      <protection/>
    </xf>
    <xf numFmtId="0" fontId="45" fillId="0" borderId="105" xfId="115" applyFont="1" applyBorder="1" applyAlignment="1">
      <alignment horizontal="center" vertical="center" wrapText="1"/>
      <protection/>
    </xf>
    <xf numFmtId="0" fontId="45" fillId="0" borderId="61" xfId="115" applyFont="1" applyBorder="1" applyAlignment="1">
      <alignment horizontal="center" vertical="center" wrapText="1"/>
      <protection/>
    </xf>
    <xf numFmtId="0" fontId="45" fillId="0" borderId="56" xfId="115" applyFont="1" applyBorder="1" applyAlignment="1">
      <alignment horizontal="center" vertical="center" wrapText="1"/>
      <protection/>
    </xf>
    <xf numFmtId="0" fontId="45" fillId="0" borderId="81" xfId="115" applyFont="1" applyBorder="1" applyAlignment="1">
      <alignment horizontal="center" vertical="center" wrapText="1"/>
      <protection/>
    </xf>
    <xf numFmtId="0" fontId="45" fillId="0" borderId="132" xfId="115" applyFont="1" applyBorder="1" applyAlignment="1">
      <alignment horizontal="center" vertical="center" wrapText="1"/>
      <protection/>
    </xf>
    <xf numFmtId="0" fontId="45" fillId="0" borderId="79" xfId="115" applyFont="1" applyBorder="1" applyAlignment="1">
      <alignment horizontal="center" vertical="center" wrapText="1"/>
      <protection/>
    </xf>
    <xf numFmtId="3" fontId="46" fillId="0" borderId="0" xfId="115" applyNumberFormat="1" applyFont="1" applyBorder="1" applyAlignment="1">
      <alignment horizontal="center" vertical="center" wrapText="1"/>
      <protection/>
    </xf>
    <xf numFmtId="3" fontId="48" fillId="0" borderId="0" xfId="115" applyNumberFormat="1" applyFont="1" applyBorder="1" applyAlignment="1">
      <alignment horizontal="center" vertical="center"/>
      <protection/>
    </xf>
    <xf numFmtId="3" fontId="45" fillId="0" borderId="80" xfId="115" applyNumberFormat="1" applyFont="1" applyBorder="1" applyAlignment="1">
      <alignment horizontal="center" vertical="center" wrapText="1"/>
      <protection/>
    </xf>
    <xf numFmtId="3" fontId="45" fillId="0" borderId="43" xfId="115" applyNumberFormat="1" applyFont="1" applyBorder="1" applyAlignment="1">
      <alignment horizontal="center" vertical="center" wrapText="1"/>
      <protection/>
    </xf>
    <xf numFmtId="3" fontId="45" fillId="0" borderId="51" xfId="115" applyNumberFormat="1" applyFont="1" applyBorder="1" applyAlignment="1">
      <alignment horizontal="center" vertical="center" wrapText="1"/>
      <protection/>
    </xf>
    <xf numFmtId="3" fontId="45" fillId="0" borderId="101" xfId="115" applyNumberFormat="1" applyFont="1" applyBorder="1" applyAlignment="1">
      <alignment horizontal="center" vertical="center"/>
      <protection/>
    </xf>
    <xf numFmtId="3" fontId="45" fillId="0" borderId="102" xfId="115" applyNumberFormat="1" applyFont="1" applyBorder="1" applyAlignment="1">
      <alignment horizontal="center" vertical="center"/>
      <protection/>
    </xf>
    <xf numFmtId="3" fontId="45" fillId="0" borderId="53" xfId="115" applyNumberFormat="1" applyFont="1" applyBorder="1" applyAlignment="1">
      <alignment horizontal="center" vertical="center"/>
      <protection/>
    </xf>
    <xf numFmtId="3" fontId="45" fillId="0" borderId="55" xfId="115" applyNumberFormat="1" applyFont="1" applyBorder="1" applyAlignment="1">
      <alignment horizontal="center" vertical="center" wrapText="1"/>
      <protection/>
    </xf>
    <xf numFmtId="3" fontId="45" fillId="0" borderId="54" xfId="115" applyNumberFormat="1" applyFont="1" applyBorder="1" applyAlignment="1">
      <alignment horizontal="center" vertical="center" wrapText="1"/>
      <protection/>
    </xf>
    <xf numFmtId="3" fontId="45" fillId="0" borderId="14" xfId="115" applyNumberFormat="1" applyFont="1" applyBorder="1" applyAlignment="1">
      <alignment horizontal="center" vertical="center" wrapText="1"/>
      <protection/>
    </xf>
    <xf numFmtId="3" fontId="45" fillId="0" borderId="30" xfId="115" applyNumberFormat="1" applyFont="1" applyBorder="1" applyAlignment="1">
      <alignment horizontal="center" vertical="center" wrapText="1"/>
      <protection/>
    </xf>
    <xf numFmtId="3" fontId="45" fillId="0" borderId="81" xfId="115" applyNumberFormat="1" applyFont="1" applyBorder="1" applyAlignment="1">
      <alignment horizontal="center" vertical="center" wrapText="1"/>
      <protection/>
    </xf>
    <xf numFmtId="3" fontId="45" fillId="0" borderId="132" xfId="115" applyNumberFormat="1" applyFont="1" applyBorder="1" applyAlignment="1">
      <alignment horizontal="center" vertical="center" wrapText="1"/>
      <protection/>
    </xf>
    <xf numFmtId="3" fontId="45" fillId="0" borderId="105" xfId="115" applyNumberFormat="1" applyFont="1" applyBorder="1" applyAlignment="1">
      <alignment horizontal="center" vertical="center" wrapText="1"/>
      <protection/>
    </xf>
    <xf numFmtId="3" fontId="45" fillId="0" borderId="61" xfId="115" applyNumberFormat="1" applyFont="1" applyBorder="1" applyAlignment="1">
      <alignment horizontal="center" vertical="center" wrapText="1"/>
      <protection/>
    </xf>
    <xf numFmtId="3" fontId="45" fillId="0" borderId="56" xfId="115" applyNumberFormat="1" applyFont="1" applyBorder="1" applyAlignment="1">
      <alignment horizontal="center" vertical="center" wrapText="1"/>
      <protection/>
    </xf>
    <xf numFmtId="3" fontId="45" fillId="0" borderId="13" xfId="115" applyNumberFormat="1" applyFont="1" applyBorder="1" applyAlignment="1">
      <alignment horizontal="center" vertical="center" wrapText="1"/>
      <protection/>
    </xf>
    <xf numFmtId="3" fontId="45" fillId="0" borderId="35" xfId="115" applyNumberFormat="1" applyFont="1" applyBorder="1" applyAlignment="1">
      <alignment horizontal="center" vertical="center" wrapText="1"/>
      <protection/>
    </xf>
    <xf numFmtId="0" fontId="35" fillId="0" borderId="0" xfId="102" applyFont="1" applyFill="1" applyBorder="1" applyAlignment="1">
      <alignment horizontal="center"/>
      <protection/>
    </xf>
    <xf numFmtId="0" fontId="1" fillId="0" borderId="0" xfId="102" applyFill="1" applyBorder="1">
      <alignment/>
      <protection/>
    </xf>
    <xf numFmtId="0" fontId="21" fillId="0" borderId="88" xfId="102" applyFont="1" applyFill="1" applyBorder="1" applyAlignment="1">
      <alignment horizontal="center" vertical="center" wrapText="1"/>
      <protection/>
    </xf>
    <xf numFmtId="0" fontId="21" fillId="0" borderId="84" xfId="102" applyFont="1" applyFill="1" applyBorder="1" applyAlignment="1">
      <alignment horizontal="center" vertical="center" wrapText="1"/>
      <protection/>
    </xf>
    <xf numFmtId="49" fontId="35" fillId="0" borderId="131" xfId="102" applyNumberFormat="1" applyFont="1" applyFill="1" applyBorder="1" applyAlignment="1">
      <alignment horizontal="center" vertical="center"/>
      <protection/>
    </xf>
    <xf numFmtId="49" fontId="35" fillId="0" borderId="73" xfId="102" applyNumberFormat="1" applyFont="1" applyFill="1" applyBorder="1" applyAlignment="1">
      <alignment horizontal="center" vertical="center"/>
      <protection/>
    </xf>
    <xf numFmtId="0" fontId="32" fillId="0" borderId="131" xfId="102" applyFont="1" applyFill="1" applyBorder="1" applyAlignment="1">
      <alignment horizontal="center"/>
      <protection/>
    </xf>
    <xf numFmtId="0" fontId="32" fillId="0" borderId="89" xfId="102" applyFont="1" applyFill="1" applyBorder="1" applyAlignment="1">
      <alignment horizontal="center"/>
      <protection/>
    </xf>
    <xf numFmtId="0" fontId="22" fillId="0" borderId="73" xfId="102" applyFont="1" applyFill="1" applyBorder="1" applyAlignment="1">
      <alignment horizontal="center" vertical="center" wrapText="1"/>
      <protection/>
    </xf>
    <xf numFmtId="0" fontId="32" fillId="0" borderId="0" xfId="110" applyFont="1" applyAlignment="1">
      <alignment horizontal="center" wrapText="1"/>
      <protection/>
    </xf>
    <xf numFmtId="0" fontId="32" fillId="0" borderId="13" xfId="110" applyFont="1" applyBorder="1" applyAlignment="1">
      <alignment horizontal="center" vertical="center" wrapText="1"/>
      <protection/>
    </xf>
    <xf numFmtId="0" fontId="32" fillId="0" borderId="17" xfId="110" applyFont="1" applyBorder="1" applyAlignment="1">
      <alignment horizontal="center" vertical="center" wrapText="1"/>
      <protection/>
    </xf>
    <xf numFmtId="0" fontId="32" fillId="0" borderId="14" xfId="110" applyFont="1" applyBorder="1" applyAlignment="1">
      <alignment horizontal="center" vertical="center"/>
      <protection/>
    </xf>
    <xf numFmtId="0" fontId="32" fillId="0" borderId="18" xfId="110" applyFont="1" applyBorder="1" applyAlignment="1">
      <alignment horizontal="center" vertical="center"/>
      <protection/>
    </xf>
    <xf numFmtId="0" fontId="32" fillId="0" borderId="14" xfId="110" applyFont="1" applyBorder="1" applyAlignment="1">
      <alignment horizontal="center" vertical="center" wrapText="1"/>
      <protection/>
    </xf>
    <xf numFmtId="0" fontId="32" fillId="0" borderId="18" xfId="110" applyFont="1" applyBorder="1" applyAlignment="1">
      <alignment horizontal="center" vertical="center" wrapText="1"/>
      <protection/>
    </xf>
    <xf numFmtId="3" fontId="32" fillId="0" borderId="105" xfId="110" applyNumberFormat="1" applyFont="1" applyBorder="1" applyAlignment="1">
      <alignment horizontal="center" vertical="center"/>
      <protection/>
    </xf>
    <xf numFmtId="3" fontId="32" fillId="0" borderId="61" xfId="110" applyNumberFormat="1" applyFont="1" applyBorder="1" applyAlignment="1">
      <alignment horizontal="center" vertical="center"/>
      <protection/>
    </xf>
    <xf numFmtId="3" fontId="32" fillId="0" borderId="55" xfId="110" applyNumberFormat="1" applyFont="1" applyBorder="1" applyAlignment="1">
      <alignment horizontal="center" vertical="center"/>
      <protection/>
    </xf>
    <xf numFmtId="3" fontId="32" fillId="0" borderId="14" xfId="110" applyNumberFormat="1" applyFont="1" applyBorder="1" applyAlignment="1">
      <alignment horizontal="center" vertical="center" wrapText="1"/>
      <protection/>
    </xf>
    <xf numFmtId="3" fontId="32" fillId="0" borderId="18" xfId="110" applyNumberFormat="1" applyFont="1" applyBorder="1" applyAlignment="1">
      <alignment horizontal="center" vertical="center" wrapText="1"/>
      <protection/>
    </xf>
    <xf numFmtId="3" fontId="32" fillId="0" borderId="30" xfId="110" applyNumberFormat="1" applyFont="1" applyBorder="1" applyAlignment="1">
      <alignment horizontal="center" vertical="center" wrapText="1"/>
      <protection/>
    </xf>
    <xf numFmtId="3" fontId="32" fillId="0" borderId="19" xfId="110" applyNumberFormat="1" applyFont="1" applyBorder="1" applyAlignment="1">
      <alignment horizontal="center" vertical="center" wrapText="1"/>
      <protection/>
    </xf>
    <xf numFmtId="3" fontId="45" fillId="0" borderId="0" xfId="116" applyNumberFormat="1" applyFont="1" applyBorder="1" applyAlignment="1">
      <alignment horizontal="center"/>
      <protection/>
    </xf>
    <xf numFmtId="0" fontId="35" fillId="0" borderId="0" xfId="103" applyFont="1" applyBorder="1" applyAlignment="1">
      <alignment horizontal="center"/>
      <protection/>
    </xf>
    <xf numFmtId="0" fontId="35" fillId="0" borderId="0" xfId="103" applyFont="1" applyAlignment="1">
      <alignment horizontal="right"/>
      <protection/>
    </xf>
    <xf numFmtId="0" fontId="0" fillId="0" borderId="0" xfId="103" applyAlignment="1">
      <alignment/>
      <protection/>
    </xf>
    <xf numFmtId="0" fontId="28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0" fontId="30" fillId="0" borderId="81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103" xfId="0" applyFont="1" applyBorder="1" applyAlignment="1">
      <alignment horizontal="center" vertical="center" wrapText="1"/>
    </xf>
    <xf numFmtId="0" fontId="30" fillId="0" borderId="93" xfId="0" applyFont="1" applyBorder="1" applyAlignment="1">
      <alignment horizontal="center" vertical="center" wrapText="1"/>
    </xf>
    <xf numFmtId="0" fontId="30" fillId="53" borderId="103" xfId="0" applyFont="1" applyFill="1" applyBorder="1" applyAlignment="1">
      <alignment horizontal="center" vertical="center" wrapText="1"/>
    </xf>
    <xf numFmtId="0" fontId="30" fillId="53" borderId="133" xfId="0" applyFont="1" applyFill="1" applyBorder="1" applyAlignment="1">
      <alignment horizontal="center" vertical="center" wrapText="1"/>
    </xf>
    <xf numFmtId="0" fontId="32" fillId="0" borderId="0" xfId="106" applyFont="1" applyBorder="1" applyAlignment="1">
      <alignment horizontal="center" wrapText="1"/>
      <protection/>
    </xf>
    <xf numFmtId="0" fontId="32" fillId="0" borderId="0" xfId="117" applyFont="1" applyBorder="1" applyAlignment="1">
      <alignment horizontal="center"/>
      <protection/>
    </xf>
    <xf numFmtId="0" fontId="32" fillId="0" borderId="0" xfId="106" applyFont="1" applyBorder="1" applyAlignment="1">
      <alignment horizontal="center" vertical="center" wrapText="1"/>
      <protection/>
    </xf>
    <xf numFmtId="0" fontId="32" fillId="0" borderId="88" xfId="106" applyFont="1" applyBorder="1" applyAlignment="1">
      <alignment horizontal="center" vertical="center"/>
      <protection/>
    </xf>
    <xf numFmtId="0" fontId="32" fillId="0" borderId="131" xfId="106" applyFont="1" applyBorder="1" applyAlignment="1">
      <alignment horizontal="center" vertical="center" wrapText="1"/>
      <protection/>
    </xf>
    <xf numFmtId="0" fontId="31" fillId="0" borderId="84" xfId="106" applyFont="1" applyBorder="1" applyAlignment="1">
      <alignment horizontal="left" vertical="center" wrapText="1"/>
      <protection/>
    </xf>
    <xf numFmtId="3" fontId="31" fillId="0" borderId="73" xfId="106" applyNumberFormat="1" applyFont="1" applyBorder="1" applyAlignment="1">
      <alignment horizontal="right" vertical="center"/>
      <protection/>
    </xf>
    <xf numFmtId="0" fontId="32" fillId="0" borderId="89" xfId="106" applyFont="1" applyBorder="1" applyAlignment="1">
      <alignment horizontal="center" vertical="center" wrapText="1"/>
      <protection/>
    </xf>
    <xf numFmtId="0" fontId="31" fillId="0" borderId="85" xfId="106" applyFont="1" applyFill="1" applyBorder="1" applyAlignment="1">
      <alignment horizontal="left" vertical="center" wrapText="1"/>
      <protection/>
    </xf>
    <xf numFmtId="3" fontId="31" fillId="0" borderId="86" xfId="106" applyNumberFormat="1" applyFont="1" applyFill="1" applyBorder="1" applyAlignment="1">
      <alignment horizontal="right" vertical="center"/>
      <protection/>
    </xf>
    <xf numFmtId="0" fontId="32" fillId="0" borderId="86" xfId="106" applyFont="1" applyBorder="1" applyAlignment="1">
      <alignment horizontal="center" vertical="center"/>
      <protection/>
    </xf>
    <xf numFmtId="0" fontId="28" fillId="0" borderId="0" xfId="106" applyFont="1" applyBorder="1" applyAlignment="1">
      <alignment horizontal="left" vertical="center"/>
      <protection/>
    </xf>
    <xf numFmtId="0" fontId="28" fillId="0" borderId="0" xfId="106" applyFont="1" applyBorder="1" applyAlignment="1">
      <alignment horizontal="left"/>
      <protection/>
    </xf>
    <xf numFmtId="0" fontId="31" fillId="0" borderId="0" xfId="106" applyFont="1" applyBorder="1" applyAlignment="1">
      <alignment horizontal="left" vertical="center"/>
      <protection/>
    </xf>
    <xf numFmtId="0" fontId="32" fillId="0" borderId="134" xfId="106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justify" vertical="center" wrapText="1"/>
    </xf>
    <xf numFmtId="0" fontId="31" fillId="0" borderId="16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0" fontId="32" fillId="0" borderId="14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1" fillId="0" borderId="16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1" fillId="0" borderId="18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49" fontId="31" fillId="0" borderId="0" xfId="0" applyNumberFormat="1" applyFont="1" applyAlignment="1">
      <alignment horizontal="justify" vertical="center" wrapText="1"/>
    </xf>
  </cellXfs>
  <cellStyles count="11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cel Built-in Explanatory Text" xfId="73"/>
    <cellStyle name="Excel Built-in Normal" xfId="74"/>
    <cellStyle name="Excel Built-in Normal 1" xfId="75"/>
    <cellStyle name="Explanatory Text" xfId="76"/>
    <cellStyle name="Comma" xfId="77"/>
    <cellStyle name="Comma [0]" xfId="78"/>
    <cellStyle name="Figyelmeztetés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Hivatkozott cella" xfId="86"/>
    <cellStyle name="Input" xfId="87"/>
    <cellStyle name="Jegyzet" xfId="88"/>
    <cellStyle name="Jelölőszín (1)" xfId="89"/>
    <cellStyle name="Jelölőszín (2)" xfId="90"/>
    <cellStyle name="Jelölőszín (3)" xfId="91"/>
    <cellStyle name="Jelölőszín (4)" xfId="92"/>
    <cellStyle name="Jelölőszín (5)" xfId="93"/>
    <cellStyle name="Jelölőszín (6)" xfId="94"/>
    <cellStyle name="Jó" xfId="95"/>
    <cellStyle name="Kimenet" xfId="96"/>
    <cellStyle name="Followed Hyperlink" xfId="97"/>
    <cellStyle name="Linked Cell" xfId="98"/>
    <cellStyle name="Magyarázó szöveg" xfId="99"/>
    <cellStyle name="Magyarázó szöveg 2" xfId="100"/>
    <cellStyle name="Neutral" xfId="101"/>
    <cellStyle name="Normál 2" xfId="102"/>
    <cellStyle name="Normál 3" xfId="103"/>
    <cellStyle name="Normál 4" xfId="104"/>
    <cellStyle name="Normál 5" xfId="105"/>
    <cellStyle name="Normál_26.2. melléklet kötelezettségek alakulása" xfId="106"/>
    <cellStyle name="Normál_Adósságszolgálat 2012 Brigi" xfId="107"/>
    <cellStyle name="Normál_Beruh.felú-átadott-átvett" xfId="108"/>
    <cellStyle name="Normál_Brigitől kisebbségek_Munkafüzet1" xfId="109"/>
    <cellStyle name="Normál_EU-s_pályázatok 20150115" xfId="110"/>
    <cellStyle name="Normál_Intézményi előir.dec. tábla" xfId="111"/>
    <cellStyle name="Normál_KTGVET98" xfId="112"/>
    <cellStyle name="Normál_Kuny Domokos ktgvetés  2013.01.16.-3" xfId="113"/>
    <cellStyle name="Normál_Munkafüzet1" xfId="114"/>
    <cellStyle name="Normál_Munkafüzet1_1" xfId="115"/>
    <cellStyle name="Normál_Munkafüzet3" xfId="116"/>
    <cellStyle name="Normál_Részesedések12.12" xfId="117"/>
    <cellStyle name="Normál_Táblák-1" xfId="118"/>
    <cellStyle name="Note" xfId="119"/>
    <cellStyle name="Output" xfId="120"/>
    <cellStyle name="Összesen" xfId="121"/>
    <cellStyle name="Currency" xfId="122"/>
    <cellStyle name="Currency [0]" xfId="123"/>
    <cellStyle name="Rossz" xfId="124"/>
    <cellStyle name="Semleges" xfId="125"/>
    <cellStyle name="Számítás" xfId="126"/>
    <cellStyle name="Percent" xfId="127"/>
    <cellStyle name="TableStyleLight1" xfId="128"/>
    <cellStyle name="Title" xfId="129"/>
    <cellStyle name="Total" xfId="130"/>
    <cellStyle name="Warning Text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externalLink" Target="externalLinks/externalLink10.xml" /><Relationship Id="rId39" Type="http://schemas.openxmlformats.org/officeDocument/2006/relationships/externalLink" Target="externalLinks/externalLink11.xml" /><Relationship Id="rId40" Type="http://schemas.openxmlformats.org/officeDocument/2006/relationships/externalLink" Target="externalLinks/externalLink12.xml" /><Relationship Id="rId41" Type="http://schemas.openxmlformats.org/officeDocument/2006/relationships/externalLink" Target="externalLinks/externalLink13.xml" /><Relationship Id="rId42" Type="http://schemas.openxmlformats.org/officeDocument/2006/relationships/externalLink" Target="externalLinks/externalLink14.xml" /><Relationship Id="rId43" Type="http://schemas.openxmlformats.org/officeDocument/2006/relationships/externalLink" Target="externalLinks/externalLink15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3\&#193;prilis\Besz&#225;mol&#243;%20janu&#225;r-febru&#225;r\K&#233;sz%20t&#225;bl&#225;k-%201-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#233;nz&#252;gyi%20Titk&#225;rs&#225;g\Dokumentumok\el&#337;terjeszt&#233;sek\2013\&#193;prilis\Besz&#225;mol&#243;%20janu&#225;r-febru&#225;r\K&#233;sz%20t&#225;bl&#225;k-%201-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Local%20Settings\Temp\2012.%20&#233;vi%20k&#246;lts&#233;gvet&#233;si%20t&#225;bl&#225;k%202010.01.05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DOCUME~1\ZSOMBO~1\LOCALS~1\Temp\DOCUME~1\ZSOMBO~1\LOCALS~1\Temp\Barbara\10.%20mell&#233;klet%20Ic&#225;nak%20(%20cellat&#246;rl&#337;s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2012.%20k&#246;lts&#233;gvet&#233;si%20t&#225;bl&#225;k%202012%2002%2006-2(K&#246;tv&#233;nyes%20t&#225;bla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T&#225;j&#233;koztat&#243;%20t&#225;bl&#225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2012.%20k&#246;lts&#233;gvet&#233;si%20t&#225;bl&#225;k%202012%2002%2006-2(K&#246;tv&#233;nyes%20t&#225;bl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Local%20Settings\Temp\2012.%20&#233;vi%20k&#246;lts&#233;gvet&#233;si%20t&#225;bl&#225;k%202010.01.0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DOCUME~1\ZSOMBO~1\LOCALS~1\Temp\DOCUME~1\ZSOMBO~1\LOCALS~1\Temp\Barbara\10.%20mell&#233;klet%20Ic&#225;nak%20(%20cellat&#246;rl&#337;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2\M&#225;jus\T&#225;j&#233;koztat&#243;%20t&#225;bl&#225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T&#225;j&#233;koztat&#243;%20t&#225;bl&#225;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OMBOR~1\LOCALS~1\Temp\2012.%20&#233;vi%20k&#246;lts&#233;gvet&#233;si%20t&#225;bl&#225;k%202010.01.05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#233;nz&#252;gyi%20Titk&#225;rs&#225;g\Dokumentumok\el&#337;terjeszt&#233;sek\2012\M&#225;jus\T&#225;j&#233;koztat&#243;%20t&#225;bl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view="pageBreakPreview" zoomScale="56" zoomScaleNormal="90" zoomScaleSheetLayoutView="56" workbookViewId="0" topLeftCell="A1">
      <selection activeCell="B9" sqref="B9"/>
    </sheetView>
  </sheetViews>
  <sheetFormatPr defaultColWidth="9.00390625" defaultRowHeight="12.75"/>
  <cols>
    <col min="1" max="1" width="6.125" style="2" customWidth="1"/>
    <col min="2" max="2" width="109.125" style="2" customWidth="1"/>
    <col min="3" max="3" width="22.375" style="47" customWidth="1"/>
    <col min="4" max="4" width="23.00390625" style="47" customWidth="1"/>
    <col min="5" max="6" width="20.75390625" style="47" customWidth="1"/>
    <col min="7" max="7" width="16.00390625" style="2" customWidth="1"/>
    <col min="8" max="8" width="80.125" style="2" customWidth="1"/>
    <col min="9" max="9" width="21.00390625" style="47" customWidth="1"/>
    <col min="10" max="10" width="18.25390625" style="2" customWidth="1"/>
    <col min="11" max="11" width="17.75390625" style="2" customWidth="1"/>
    <col min="12" max="12" width="23.125" style="2" customWidth="1"/>
    <col min="13" max="16384" width="9.125" style="2" customWidth="1"/>
  </cols>
  <sheetData>
    <row r="1" spans="1:12" ht="18.75">
      <c r="A1" s="385"/>
      <c r="B1" s="368"/>
      <c r="C1" s="802"/>
      <c r="D1" s="802"/>
      <c r="E1" s="802"/>
      <c r="F1" s="802"/>
      <c r="G1" s="368"/>
      <c r="H1" s="368"/>
      <c r="I1" s="802"/>
      <c r="J1" s="368"/>
      <c r="K1" s="368"/>
      <c r="L1" s="368"/>
    </row>
    <row r="2" spans="1:12" ht="19.5" customHeight="1">
      <c r="A2" s="1149" t="s">
        <v>24</v>
      </c>
      <c r="B2" s="1149"/>
      <c r="C2" s="1149"/>
      <c r="D2" s="1149"/>
      <c r="E2" s="1149"/>
      <c r="F2" s="1149"/>
      <c r="G2" s="1149"/>
      <c r="H2" s="1149"/>
      <c r="I2" s="1149"/>
      <c r="J2" s="368"/>
      <c r="K2" s="368"/>
      <c r="L2" s="368"/>
    </row>
    <row r="3" spans="1:12" ht="19.5" thickBot="1">
      <c r="A3" s="368"/>
      <c r="B3" s="368"/>
      <c r="C3" s="802"/>
      <c r="D3" s="802"/>
      <c r="E3" s="802"/>
      <c r="F3" s="802"/>
      <c r="G3" s="802"/>
      <c r="H3" s="802"/>
      <c r="I3" s="802"/>
      <c r="J3" s="368"/>
      <c r="K3" s="368"/>
      <c r="L3" s="368"/>
    </row>
    <row r="4" spans="1:12" ht="22.5" customHeight="1" thickBot="1">
      <c r="A4" s="1150" t="s">
        <v>259</v>
      </c>
      <c r="B4" s="1151"/>
      <c r="C4" s="1151"/>
      <c r="D4" s="803"/>
      <c r="E4" s="803"/>
      <c r="F4" s="804"/>
      <c r="G4" s="1152" t="s">
        <v>260</v>
      </c>
      <c r="H4" s="1153"/>
      <c r="I4" s="1153"/>
      <c r="J4" s="805"/>
      <c r="K4" s="806"/>
      <c r="L4" s="807"/>
    </row>
    <row r="5" spans="1:12" ht="21" customHeight="1" thickBot="1">
      <c r="A5" s="1154" t="s">
        <v>621</v>
      </c>
      <c r="B5" s="1155"/>
      <c r="C5" s="808" t="s">
        <v>4</v>
      </c>
      <c r="D5" s="809" t="s">
        <v>976</v>
      </c>
      <c r="E5" s="810" t="s">
        <v>1032</v>
      </c>
      <c r="F5" s="810" t="s">
        <v>1039</v>
      </c>
      <c r="G5" s="1133" t="s">
        <v>621</v>
      </c>
      <c r="H5" s="1133"/>
      <c r="I5" s="811" t="s">
        <v>622</v>
      </c>
      <c r="J5" s="811" t="s">
        <v>976</v>
      </c>
      <c r="K5" s="811" t="s">
        <v>1032</v>
      </c>
      <c r="L5" s="811" t="s">
        <v>1039</v>
      </c>
    </row>
    <row r="6" spans="1:12" ht="23.25" customHeight="1">
      <c r="A6" s="812" t="s">
        <v>588</v>
      </c>
      <c r="B6" s="813"/>
      <c r="C6" s="814">
        <f>SUM(C7:C9)</f>
        <v>1107179</v>
      </c>
      <c r="D6" s="815">
        <f>SUM(D7:D9)</f>
        <v>1202020</v>
      </c>
      <c r="E6" s="815">
        <f>SUM(E7:E9)</f>
        <v>1202021</v>
      </c>
      <c r="F6" s="816">
        <f>E6/D6</f>
        <v>1.000000831932913</v>
      </c>
      <c r="G6" s="817" t="s">
        <v>560</v>
      </c>
      <c r="H6" s="818"/>
      <c r="I6" s="819">
        <f>'2. sz. melléklet'!F5</f>
        <v>1161453</v>
      </c>
      <c r="J6" s="820">
        <f>'2. sz. melléklet'!G5</f>
        <v>1155076</v>
      </c>
      <c r="K6" s="821">
        <f>'2. sz. melléklet'!H5</f>
        <v>1105197</v>
      </c>
      <c r="L6" s="822">
        <f>K6/J6</f>
        <v>0.9568175600566543</v>
      </c>
    </row>
    <row r="7" spans="1:12" ht="19.5" customHeight="1">
      <c r="A7" s="823"/>
      <c r="B7" s="824" t="s">
        <v>679</v>
      </c>
      <c r="C7" s="825">
        <f>'2. sz. melléklet'!B6</f>
        <v>1107179</v>
      </c>
      <c r="D7" s="826">
        <f>'2. sz. melléklet'!C6</f>
        <v>1163047</v>
      </c>
      <c r="E7" s="826">
        <f>'2. sz. melléklet'!D6</f>
        <v>1163048</v>
      </c>
      <c r="F7" s="827">
        <f>E7/D7</f>
        <v>1.0000008598104806</v>
      </c>
      <c r="G7" s="828"/>
      <c r="H7" s="829"/>
      <c r="I7" s="830"/>
      <c r="J7" s="831"/>
      <c r="K7" s="832"/>
      <c r="L7" s="822"/>
    </row>
    <row r="8" spans="1:12" ht="18.75" customHeight="1">
      <c r="A8" s="832"/>
      <c r="B8" s="833" t="s">
        <v>738</v>
      </c>
      <c r="C8" s="834"/>
      <c r="D8" s="826">
        <f>'2. sz. melléklet'!C7</f>
        <v>4841</v>
      </c>
      <c r="E8" s="826">
        <f>'2. sz. melléklet'!D7</f>
        <v>4841</v>
      </c>
      <c r="F8" s="827">
        <f>E8/D8</f>
        <v>1</v>
      </c>
      <c r="G8" s="828"/>
      <c r="H8" s="829"/>
      <c r="I8" s="830"/>
      <c r="J8" s="831"/>
      <c r="K8" s="832"/>
      <c r="L8" s="822"/>
    </row>
    <row r="9" spans="1:12" ht="21.75" customHeight="1">
      <c r="A9" s="835"/>
      <c r="B9" s="836" t="s">
        <v>686</v>
      </c>
      <c r="C9" s="837"/>
      <c r="D9" s="826">
        <f>'2. sz. melléklet'!C8</f>
        <v>34132</v>
      </c>
      <c r="E9" s="826">
        <f>'2. sz. melléklet'!D8</f>
        <v>34132</v>
      </c>
      <c r="F9" s="827">
        <f>E9/D9</f>
        <v>1</v>
      </c>
      <c r="G9" s="823"/>
      <c r="H9" s="829"/>
      <c r="I9" s="834"/>
      <c r="J9" s="831"/>
      <c r="K9" s="832"/>
      <c r="L9" s="822"/>
    </row>
    <row r="10" spans="1:12" ht="20.25" customHeight="1">
      <c r="A10" s="838" t="s">
        <v>589</v>
      </c>
      <c r="B10" s="839"/>
      <c r="C10" s="840">
        <f>SUM(C11:C12)</f>
        <v>421160</v>
      </c>
      <c r="D10" s="841">
        <f>SUM(D11:D13)</f>
        <v>778992</v>
      </c>
      <c r="E10" s="841">
        <f>SUM(E11:E13)</f>
        <v>776418</v>
      </c>
      <c r="F10" s="816">
        <f>E10/D10</f>
        <v>0.9966957298662887</v>
      </c>
      <c r="G10" s="828" t="s">
        <v>209</v>
      </c>
      <c r="H10" s="829"/>
      <c r="I10" s="840">
        <f>'2. sz. melléklet'!F6</f>
        <v>308445</v>
      </c>
      <c r="J10" s="841">
        <f>'2. sz. melléklet'!G6</f>
        <v>313207</v>
      </c>
      <c r="K10" s="842">
        <f>'2. sz. melléklet'!H6</f>
        <v>300447</v>
      </c>
      <c r="L10" s="822">
        <f>K10/J10</f>
        <v>0.9592601697918629</v>
      </c>
    </row>
    <row r="11" spans="1:12" ht="20.25">
      <c r="A11" s="843"/>
      <c r="B11" s="836" t="s">
        <v>590</v>
      </c>
      <c r="C11" s="834">
        <f>'2. sz. melléklet'!B10</f>
        <v>107209</v>
      </c>
      <c r="D11" s="826">
        <f>'2. sz. melléklet'!C10</f>
        <v>6490</v>
      </c>
      <c r="E11" s="826">
        <f>'2. sz. melléklet'!D10</f>
        <v>6490</v>
      </c>
      <c r="F11" s="827">
        <f aca="true" t="shared" si="0" ref="F11:F67">E11/D11</f>
        <v>1</v>
      </c>
      <c r="G11" s="823"/>
      <c r="H11" s="829"/>
      <c r="I11" s="834"/>
      <c r="J11" s="831"/>
      <c r="K11" s="832"/>
      <c r="L11" s="822"/>
    </row>
    <row r="12" spans="1:12" ht="20.25">
      <c r="A12" s="823"/>
      <c r="B12" s="836" t="s">
        <v>591</v>
      </c>
      <c r="C12" s="834">
        <f>'2. sz. melléklet'!B11</f>
        <v>313951</v>
      </c>
      <c r="D12" s="826">
        <f>'2. sz. melléklet'!C11</f>
        <v>742502</v>
      </c>
      <c r="E12" s="826">
        <f>'2. sz. melléklet'!D11</f>
        <v>739928</v>
      </c>
      <c r="F12" s="827">
        <f t="shared" si="0"/>
        <v>0.9965333426711308</v>
      </c>
      <c r="G12" s="828"/>
      <c r="H12" s="829"/>
      <c r="I12" s="830"/>
      <c r="J12" s="831"/>
      <c r="K12" s="832"/>
      <c r="L12" s="822"/>
    </row>
    <row r="13" spans="1:12" ht="20.25">
      <c r="A13" s="823"/>
      <c r="B13" s="836" t="s">
        <v>813</v>
      </c>
      <c r="C13" s="834"/>
      <c r="D13" s="826">
        <f>'2. sz. melléklet'!C12</f>
        <v>30000</v>
      </c>
      <c r="E13" s="826">
        <f>'2. sz. melléklet'!D12</f>
        <v>30000</v>
      </c>
      <c r="F13" s="827">
        <f t="shared" si="0"/>
        <v>1</v>
      </c>
      <c r="G13" s="828" t="s">
        <v>562</v>
      </c>
      <c r="H13" s="829"/>
      <c r="I13" s="840">
        <f>'2. sz. melléklet'!F9</f>
        <v>1723449</v>
      </c>
      <c r="J13" s="841">
        <f>'2. sz. melléklet'!G9</f>
        <v>2042840</v>
      </c>
      <c r="K13" s="842">
        <f>'2. sz. melléklet'!H9</f>
        <v>1845788</v>
      </c>
      <c r="L13" s="822">
        <f>K13/J13</f>
        <v>0.9035401695678565</v>
      </c>
    </row>
    <row r="14" spans="1:12" ht="20.25">
      <c r="A14" s="844" t="s">
        <v>592</v>
      </c>
      <c r="B14" s="845"/>
      <c r="C14" s="840">
        <f>SUM(C15:C17)</f>
        <v>1606819</v>
      </c>
      <c r="D14" s="841">
        <f>SUM(D15:D16)</f>
        <v>1075254</v>
      </c>
      <c r="E14" s="841">
        <f>SUM(E15:E16)</f>
        <v>1045182</v>
      </c>
      <c r="F14" s="816">
        <f t="shared" si="0"/>
        <v>0.9720326546099806</v>
      </c>
      <c r="G14" s="823"/>
      <c r="H14" s="829"/>
      <c r="I14" s="846"/>
      <c r="J14" s="831"/>
      <c r="K14" s="832"/>
      <c r="L14" s="822"/>
    </row>
    <row r="15" spans="1:12" ht="20.25">
      <c r="A15" s="847"/>
      <c r="B15" s="836" t="s">
        <v>590</v>
      </c>
      <c r="C15" s="848">
        <f>'2. sz. melléklet'!B51</f>
        <v>2290</v>
      </c>
      <c r="D15" s="849">
        <f>'2. sz. melléklet'!C51</f>
        <v>380</v>
      </c>
      <c r="E15" s="849">
        <f>'2. sz. melléklet'!D51</f>
        <v>380</v>
      </c>
      <c r="F15" s="827">
        <f t="shared" si="0"/>
        <v>1</v>
      </c>
      <c r="G15" s="850"/>
      <c r="H15" s="851"/>
      <c r="I15" s="852"/>
      <c r="J15" s="831"/>
      <c r="K15" s="832"/>
      <c r="L15" s="822"/>
    </row>
    <row r="16" spans="1:12" ht="20.25">
      <c r="A16" s="847"/>
      <c r="B16" s="836" t="s">
        <v>591</v>
      </c>
      <c r="C16" s="848">
        <f>'2. sz. melléklet'!B52</f>
        <v>1604529</v>
      </c>
      <c r="D16" s="849">
        <f>'2. sz. melléklet'!C52</f>
        <v>1074874</v>
      </c>
      <c r="E16" s="849">
        <f>'2. sz. melléklet'!D52</f>
        <v>1044802</v>
      </c>
      <c r="F16" s="827">
        <f t="shared" si="0"/>
        <v>0.9720227673197045</v>
      </c>
      <c r="G16" s="850" t="s">
        <v>569</v>
      </c>
      <c r="H16" s="846"/>
      <c r="I16" s="852">
        <f>'2. sz. melléklet'!F10</f>
        <v>62251</v>
      </c>
      <c r="J16" s="853">
        <f>'2. sz. melléklet'!G10</f>
        <v>98228</v>
      </c>
      <c r="K16" s="854">
        <f>'2. sz. melléklet'!H10</f>
        <v>90566</v>
      </c>
      <c r="L16" s="822">
        <f>K16/J16</f>
        <v>0.9219978010343283</v>
      </c>
    </row>
    <row r="17" spans="1:12" ht="20.25">
      <c r="A17" s="1134" t="s">
        <v>711</v>
      </c>
      <c r="B17" s="1135"/>
      <c r="C17" s="848"/>
      <c r="D17" s="841">
        <f>'2. sz. melléklet'!C54</f>
        <v>9581</v>
      </c>
      <c r="E17" s="841">
        <f>'2. sz. melléklet'!D54</f>
        <v>9581</v>
      </c>
      <c r="F17" s="816">
        <f t="shared" si="0"/>
        <v>1</v>
      </c>
      <c r="G17" s="823"/>
      <c r="H17" s="829"/>
      <c r="I17" s="846"/>
      <c r="J17" s="831"/>
      <c r="K17" s="832"/>
      <c r="L17" s="822"/>
    </row>
    <row r="18" spans="1:12" ht="20.25">
      <c r="A18" s="857"/>
      <c r="B18" s="845" t="s">
        <v>686</v>
      </c>
      <c r="C18" s="848"/>
      <c r="D18" s="849">
        <f>'2. sz. melléklet'!C55</f>
        <v>6674</v>
      </c>
      <c r="E18" s="849">
        <f>'2. sz. melléklet'!D55</f>
        <v>6674</v>
      </c>
      <c r="F18" s="827">
        <f t="shared" si="0"/>
        <v>1</v>
      </c>
      <c r="G18" s="823"/>
      <c r="H18" s="829"/>
      <c r="I18" s="846"/>
      <c r="J18" s="831"/>
      <c r="K18" s="832"/>
      <c r="L18" s="822"/>
    </row>
    <row r="19" spans="1:12" ht="20.25">
      <c r="A19" s="855"/>
      <c r="B19" s="858" t="s">
        <v>739</v>
      </c>
      <c r="C19" s="848"/>
      <c r="D19" s="849">
        <f>'2. sz. melléklet'!C56</f>
        <v>2907</v>
      </c>
      <c r="E19" s="849">
        <f>'2. sz. melléklet'!D56</f>
        <v>2907</v>
      </c>
      <c r="F19" s="827">
        <f t="shared" si="0"/>
        <v>1</v>
      </c>
      <c r="G19" s="823"/>
      <c r="H19" s="829"/>
      <c r="I19" s="846"/>
      <c r="J19" s="831"/>
      <c r="K19" s="832"/>
      <c r="L19" s="822"/>
    </row>
    <row r="20" spans="1:12" ht="20.25">
      <c r="A20" s="844" t="s">
        <v>264</v>
      </c>
      <c r="B20" s="859"/>
      <c r="C20" s="840">
        <f>SUM(C21:C24)</f>
        <v>1918951</v>
      </c>
      <c r="D20" s="841">
        <f>SUM(D21:D25)</f>
        <v>2054674</v>
      </c>
      <c r="E20" s="841">
        <f>SUM(E21:E26)</f>
        <v>2056818</v>
      </c>
      <c r="F20" s="816">
        <f t="shared" si="0"/>
        <v>1.0010434745365933</v>
      </c>
      <c r="G20" s="850"/>
      <c r="H20" s="851"/>
      <c r="I20" s="852"/>
      <c r="J20" s="831"/>
      <c r="K20" s="832"/>
      <c r="L20" s="822"/>
    </row>
    <row r="21" spans="1:12" ht="20.25">
      <c r="A21" s="823"/>
      <c r="B21" s="829" t="s">
        <v>601</v>
      </c>
      <c r="C21" s="848">
        <f>'2. sz. melléklet'!B14</f>
        <v>430000</v>
      </c>
      <c r="D21" s="849">
        <f>'2. sz. melléklet'!C14</f>
        <v>498077</v>
      </c>
      <c r="E21" s="849">
        <f>'2. sz. melléklet'!D14</f>
        <v>498077</v>
      </c>
      <c r="F21" s="827">
        <f t="shared" si="0"/>
        <v>1</v>
      </c>
      <c r="G21" s="850" t="s">
        <v>180</v>
      </c>
      <c r="H21" s="851"/>
      <c r="I21" s="852">
        <f>SUM(I22+I23+I24+I29)</f>
        <v>1111548</v>
      </c>
      <c r="J21" s="853">
        <f>SUM(J22+J23+J24+J29)</f>
        <v>1000155</v>
      </c>
      <c r="K21" s="854">
        <f>SUM(K22+K23+K24+K29)</f>
        <v>976903</v>
      </c>
      <c r="L21" s="822">
        <f>K21/J21</f>
        <v>0.9767516035014573</v>
      </c>
    </row>
    <row r="22" spans="1:12" ht="20.25">
      <c r="A22" s="847"/>
      <c r="B22" s="860" t="s">
        <v>572</v>
      </c>
      <c r="C22" s="848">
        <f>'2. sz. melléklet'!B15</f>
        <v>1468951</v>
      </c>
      <c r="D22" s="849">
        <f>'2. sz. melléklet'!C15</f>
        <v>1540998</v>
      </c>
      <c r="E22" s="849">
        <f>'2. sz. melléklet'!D15</f>
        <v>1540997</v>
      </c>
      <c r="F22" s="827">
        <f t="shared" si="0"/>
        <v>0.999999351069891</v>
      </c>
      <c r="G22" s="823"/>
      <c r="H22" s="846" t="s">
        <v>566</v>
      </c>
      <c r="I22" s="861">
        <f>'2. sz. melléklet'!F13</f>
        <v>42220</v>
      </c>
      <c r="J22" s="862">
        <f>'2. sz. melléklet'!G13</f>
        <v>38355</v>
      </c>
      <c r="K22" s="863">
        <f>'2. sz. melléklet'!H13</f>
        <v>37956</v>
      </c>
      <c r="L22" s="864">
        <f>K22/J22</f>
        <v>0.9895971842002347</v>
      </c>
    </row>
    <row r="23" spans="1:12" ht="20.25" customHeight="1">
      <c r="A23" s="823"/>
      <c r="B23" s="865" t="s">
        <v>34</v>
      </c>
      <c r="C23" s="848">
        <f>'2. sz. melléklet'!B16</f>
        <v>19500</v>
      </c>
      <c r="D23" s="849">
        <f>'2. sz. melléklet'!C16</f>
        <v>10420</v>
      </c>
      <c r="E23" s="849">
        <f>'2. sz. melléklet'!D16</f>
        <v>10420</v>
      </c>
      <c r="F23" s="827">
        <f t="shared" si="0"/>
        <v>1</v>
      </c>
      <c r="G23" s="823"/>
      <c r="H23" s="829" t="s">
        <v>567</v>
      </c>
      <c r="I23" s="834">
        <f>'2. sz. melléklet'!F14</f>
        <v>867928</v>
      </c>
      <c r="J23" s="826">
        <f>'2. sz. melléklet'!G14</f>
        <v>916991</v>
      </c>
      <c r="K23" s="866">
        <f>'2. sz. melléklet'!H14</f>
        <v>898310</v>
      </c>
      <c r="L23" s="864">
        <f>K23/J23</f>
        <v>0.9796279352796265</v>
      </c>
    </row>
    <row r="24" spans="1:12" ht="19.5" customHeight="1">
      <c r="A24" s="838"/>
      <c r="B24" s="865" t="s">
        <v>492</v>
      </c>
      <c r="C24" s="848">
        <f>'2. sz. melléklet'!B17</f>
        <v>500</v>
      </c>
      <c r="D24" s="849">
        <f>'2. sz. melléklet'!C17</f>
        <v>4097</v>
      </c>
      <c r="E24" s="849">
        <f>'2. sz. melléklet'!D17</f>
        <v>6204</v>
      </c>
      <c r="F24" s="827">
        <f t="shared" si="0"/>
        <v>1.5142787405418598</v>
      </c>
      <c r="G24" s="823"/>
      <c r="H24" s="851" t="s">
        <v>646</v>
      </c>
      <c r="I24" s="834">
        <f>SUM(I25:I28)</f>
        <v>193800</v>
      </c>
      <c r="J24" s="826">
        <f>SUM(J25:J28)</f>
        <v>4168</v>
      </c>
      <c r="K24" s="866">
        <f>SUM(K25:K28)</f>
        <v>0</v>
      </c>
      <c r="L24" s="864">
        <f>K24/J24</f>
        <v>0</v>
      </c>
    </row>
    <row r="25" spans="1:12" ht="20.25">
      <c r="A25" s="838"/>
      <c r="B25" s="865" t="s">
        <v>1019</v>
      </c>
      <c r="C25" s="848"/>
      <c r="D25" s="849">
        <f>'2. sz. melléklet'!C18</f>
        <v>1082</v>
      </c>
      <c r="E25" s="849">
        <f>'2. sz. melléklet'!D18</f>
        <v>1095</v>
      </c>
      <c r="F25" s="827">
        <f t="shared" si="0"/>
        <v>1.012014787430684</v>
      </c>
      <c r="G25" s="823"/>
      <c r="H25" s="867" t="s">
        <v>568</v>
      </c>
      <c r="I25" s="868">
        <f>'2. sz. melléklet'!F16</f>
        <v>15000</v>
      </c>
      <c r="J25" s="869">
        <f>'2. sz. melléklet'!G16</f>
        <v>3211</v>
      </c>
      <c r="K25" s="870">
        <f>'2. sz. melléklet'!H16</f>
        <v>0</v>
      </c>
      <c r="L25" s="864">
        <f>K25/J25</f>
        <v>0</v>
      </c>
    </row>
    <row r="26" spans="1:12" ht="20.25">
      <c r="A26" s="838"/>
      <c r="B26" s="865" t="s">
        <v>1044</v>
      </c>
      <c r="C26" s="848"/>
      <c r="D26" s="849"/>
      <c r="E26" s="849">
        <v>25</v>
      </c>
      <c r="F26" s="827"/>
      <c r="G26" s="823"/>
      <c r="H26" s="867"/>
      <c r="I26" s="868"/>
      <c r="J26" s="869"/>
      <c r="K26" s="870"/>
      <c r="L26" s="864"/>
    </row>
    <row r="27" spans="1:12" ht="20.25">
      <c r="A27" s="850" t="s">
        <v>608</v>
      </c>
      <c r="B27" s="845"/>
      <c r="C27" s="840">
        <f>SUM(C28:C35)</f>
        <v>1224609</v>
      </c>
      <c r="D27" s="841">
        <f>SUM(D28:D35)</f>
        <v>685677</v>
      </c>
      <c r="E27" s="841">
        <f>SUM(E28:E35)</f>
        <v>547940</v>
      </c>
      <c r="F27" s="816">
        <f t="shared" si="0"/>
        <v>0.7991226189590726</v>
      </c>
      <c r="G27" s="823"/>
      <c r="H27" s="871" t="s">
        <v>31</v>
      </c>
      <c r="I27" s="868">
        <f>'2. sz. melléklet'!F17</f>
        <v>100000</v>
      </c>
      <c r="J27" s="869">
        <f>'2. sz. melléklet'!G17</f>
        <v>957</v>
      </c>
      <c r="K27" s="870">
        <f>'2. sz. melléklet'!H17</f>
        <v>0</v>
      </c>
      <c r="L27" s="864">
        <f>K27/J27</f>
        <v>0</v>
      </c>
    </row>
    <row r="28" spans="1:12" ht="20.25">
      <c r="A28" s="823"/>
      <c r="B28" s="829" t="s">
        <v>184</v>
      </c>
      <c r="C28" s="848">
        <f>'2. sz. melléklet'!B21</f>
        <v>523842</v>
      </c>
      <c r="D28" s="849">
        <f>'2. sz. melléklet'!C21</f>
        <v>198561</v>
      </c>
      <c r="E28" s="849">
        <f>'2. sz. melléklet'!D21</f>
        <v>60490</v>
      </c>
      <c r="F28" s="827">
        <f t="shared" si="0"/>
        <v>0.30464189845941547</v>
      </c>
      <c r="G28" s="823"/>
      <c r="H28" s="872" t="s">
        <v>578</v>
      </c>
      <c r="I28" s="868">
        <f>'2. sz. melléklet'!F18</f>
        <v>78800</v>
      </c>
      <c r="J28" s="869">
        <f>'2. sz. melléklet'!G18</f>
        <v>0</v>
      </c>
      <c r="K28" s="870">
        <f>'2. sz. melléklet'!H18</f>
        <v>0</v>
      </c>
      <c r="L28" s="864"/>
    </row>
    <row r="29" spans="1:12" ht="20.25">
      <c r="A29" s="823"/>
      <c r="B29" s="829" t="s">
        <v>573</v>
      </c>
      <c r="C29" s="848">
        <f>'2. sz. melléklet'!B22</f>
        <v>90640</v>
      </c>
      <c r="D29" s="849">
        <f>'2. sz. melléklet'!C22</f>
        <v>107239</v>
      </c>
      <c r="E29" s="849">
        <f>'2. sz. melléklet'!D22</f>
        <v>104729</v>
      </c>
      <c r="F29" s="827">
        <f t="shared" si="0"/>
        <v>0.9765943360158151</v>
      </c>
      <c r="G29" s="823"/>
      <c r="H29" s="851" t="s">
        <v>32</v>
      </c>
      <c r="I29" s="868">
        <f>'2. sz. melléklet'!F20</f>
        <v>7600</v>
      </c>
      <c r="J29" s="869">
        <f>'2. sz. melléklet'!G20</f>
        <v>40641</v>
      </c>
      <c r="K29" s="870">
        <f>'2. sz. melléklet'!H20</f>
        <v>40637</v>
      </c>
      <c r="L29" s="864">
        <f>K29/J29</f>
        <v>0.9999015772249699</v>
      </c>
    </row>
    <row r="30" spans="1:12" ht="20.25">
      <c r="A30" s="823"/>
      <c r="B30" s="829" t="s">
        <v>36</v>
      </c>
      <c r="C30" s="848">
        <f>'2. sz. melléklet'!B23</f>
        <v>32100</v>
      </c>
      <c r="D30" s="849">
        <f>'2. sz. melléklet'!C23</f>
        <v>29603</v>
      </c>
      <c r="E30" s="849">
        <f>'2. sz. melléklet'!D23</f>
        <v>30884</v>
      </c>
      <c r="F30" s="827">
        <f t="shared" si="0"/>
        <v>1.0432726412863562</v>
      </c>
      <c r="G30" s="873"/>
      <c r="H30" s="829"/>
      <c r="I30" s="861"/>
      <c r="J30" s="831"/>
      <c r="K30" s="832"/>
      <c r="L30" s="822"/>
    </row>
    <row r="31" spans="1:12" ht="19.5" customHeight="1">
      <c r="A31" s="844"/>
      <c r="B31" s="851" t="s">
        <v>574</v>
      </c>
      <c r="C31" s="848">
        <f>'2. sz. melléklet'!B24</f>
        <v>101169</v>
      </c>
      <c r="D31" s="849">
        <f>'2. sz. melléklet'!C24</f>
        <v>120887</v>
      </c>
      <c r="E31" s="849">
        <f>'2. sz. melléklet'!D24</f>
        <v>120551</v>
      </c>
      <c r="F31" s="827">
        <f t="shared" si="0"/>
        <v>0.9972205448063067</v>
      </c>
      <c r="G31" s="850"/>
      <c r="H31" s="829"/>
      <c r="I31" s="852"/>
      <c r="J31" s="831"/>
      <c r="K31" s="832"/>
      <c r="L31" s="822"/>
    </row>
    <row r="32" spans="1:12" ht="20.25">
      <c r="A32" s="823"/>
      <c r="B32" s="851" t="s">
        <v>610</v>
      </c>
      <c r="C32" s="848">
        <f>'2. sz. melléklet'!B25</f>
        <v>92312</v>
      </c>
      <c r="D32" s="849">
        <f>'2. sz. melléklet'!C25</f>
        <v>93662</v>
      </c>
      <c r="E32" s="849">
        <f>'2. sz. melléklet'!D25</f>
        <v>92190</v>
      </c>
      <c r="F32" s="827">
        <f t="shared" si="0"/>
        <v>0.9842839145010783</v>
      </c>
      <c r="G32" s="850" t="s">
        <v>181</v>
      </c>
      <c r="H32" s="829"/>
      <c r="I32" s="840">
        <f>'2. sz. melléklet'!F50</f>
        <v>2245365</v>
      </c>
      <c r="J32" s="841">
        <f>'2. sz. melléklet'!G50</f>
        <v>1782402</v>
      </c>
      <c r="K32" s="842">
        <f>'2. sz. melléklet'!H50</f>
        <v>1722088</v>
      </c>
      <c r="L32" s="822">
        <f>K32/J32</f>
        <v>0.9661613934454741</v>
      </c>
    </row>
    <row r="33" spans="1:12" ht="20.25">
      <c r="A33" s="847"/>
      <c r="B33" s="845" t="s">
        <v>151</v>
      </c>
      <c r="C33" s="848">
        <f>'2. sz. melléklet'!B26</f>
        <v>237476</v>
      </c>
      <c r="D33" s="849">
        <f>'2. sz. melléklet'!C26</f>
        <v>131272</v>
      </c>
      <c r="E33" s="849">
        <f>'2. sz. melléklet'!D26</f>
        <v>129564</v>
      </c>
      <c r="F33" s="827">
        <f t="shared" si="0"/>
        <v>0.9869888475836431</v>
      </c>
      <c r="G33" s="823"/>
      <c r="H33" s="829"/>
      <c r="I33" s="834"/>
      <c r="J33" s="831"/>
      <c r="K33" s="832"/>
      <c r="L33" s="822"/>
    </row>
    <row r="34" spans="1:12" ht="20.25">
      <c r="A34" s="823"/>
      <c r="B34" s="874" t="s">
        <v>611</v>
      </c>
      <c r="C34" s="848">
        <f>'2. sz. melléklet'!B27</f>
        <v>16766</v>
      </c>
      <c r="D34" s="849">
        <f>'2. sz. melléklet'!C27</f>
        <v>3789</v>
      </c>
      <c r="E34" s="849">
        <f>'2. sz. melléklet'!D27</f>
        <v>1821</v>
      </c>
      <c r="F34" s="827">
        <f t="shared" si="0"/>
        <v>0.4806017418844022</v>
      </c>
      <c r="G34" s="850"/>
      <c r="H34" s="829"/>
      <c r="I34" s="840"/>
      <c r="J34" s="831"/>
      <c r="K34" s="832"/>
      <c r="L34" s="822"/>
    </row>
    <row r="35" spans="1:12" ht="20.25">
      <c r="A35" s="823"/>
      <c r="B35" s="874" t="s">
        <v>134</v>
      </c>
      <c r="C35" s="848">
        <f>'2. sz. melléklet'!B28</f>
        <v>130304</v>
      </c>
      <c r="D35" s="849">
        <f>'2. sz. melléklet'!C28</f>
        <v>664</v>
      </c>
      <c r="E35" s="849">
        <f>'2. sz. melléklet'!D28</f>
        <v>7711</v>
      </c>
      <c r="F35" s="827">
        <f t="shared" si="0"/>
        <v>11.612951807228916</v>
      </c>
      <c r="G35" s="850" t="s">
        <v>182</v>
      </c>
      <c r="H35" s="829"/>
      <c r="I35" s="852">
        <f>'2. sz. melléklet'!F52</f>
        <v>253927</v>
      </c>
      <c r="J35" s="853">
        <f>'2. sz. melléklet'!G52</f>
        <v>186027</v>
      </c>
      <c r="K35" s="854">
        <f>'2. sz. melléklet'!H52</f>
        <v>147304</v>
      </c>
      <c r="L35" s="822">
        <f>K35/J35</f>
        <v>0.7918420444344101</v>
      </c>
    </row>
    <row r="36" spans="1:12" ht="13.5" customHeight="1">
      <c r="A36" s="847"/>
      <c r="B36" s="845"/>
      <c r="C36" s="848"/>
      <c r="D36" s="875"/>
      <c r="E36" s="875"/>
      <c r="F36" s="816"/>
      <c r="G36" s="823"/>
      <c r="H36" s="829"/>
      <c r="I36" s="861"/>
      <c r="J36" s="831"/>
      <c r="K36" s="832"/>
      <c r="L36" s="822"/>
    </row>
    <row r="37" spans="1:12" ht="20.25">
      <c r="A37" s="828" t="s">
        <v>612</v>
      </c>
      <c r="B37" s="860"/>
      <c r="C37" s="840">
        <f>SUM(C38)</f>
        <v>191090</v>
      </c>
      <c r="D37" s="841">
        <f>SUM(D38:D40)</f>
        <v>241830</v>
      </c>
      <c r="E37" s="841">
        <f>SUM(E38:E40)</f>
        <v>241830</v>
      </c>
      <c r="F37" s="816">
        <f t="shared" si="0"/>
        <v>1</v>
      </c>
      <c r="G37" s="850"/>
      <c r="H37" s="829"/>
      <c r="I37" s="876"/>
      <c r="J37" s="831"/>
      <c r="K37" s="832"/>
      <c r="L37" s="822"/>
    </row>
    <row r="38" spans="1:12" ht="20.25">
      <c r="A38" s="828"/>
      <c r="B38" s="829" t="s">
        <v>613</v>
      </c>
      <c r="C38" s="848">
        <f>'2. sz. melléklet'!B58</f>
        <v>191090</v>
      </c>
      <c r="D38" s="849">
        <f>'2. sz. melléklet'!C58</f>
        <v>241570</v>
      </c>
      <c r="E38" s="849">
        <f>'2. sz. melléklet'!D58</f>
        <v>241570</v>
      </c>
      <c r="F38" s="827">
        <f t="shared" si="0"/>
        <v>1</v>
      </c>
      <c r="G38" s="850" t="s">
        <v>581</v>
      </c>
      <c r="H38" s="877"/>
      <c r="I38" s="840">
        <f>SUM(I40:I42)</f>
        <v>440707</v>
      </c>
      <c r="J38" s="841">
        <f>SUM(J40:J42)</f>
        <v>250946</v>
      </c>
      <c r="K38" s="842">
        <f>SUM(K40:K42)</f>
        <v>211653</v>
      </c>
      <c r="L38" s="822">
        <f>K38/J38</f>
        <v>0.8434204968399576</v>
      </c>
    </row>
    <row r="39" spans="1:12" ht="20.25">
      <c r="A39" s="878"/>
      <c r="B39" s="879" t="s">
        <v>740</v>
      </c>
      <c r="C39" s="848"/>
      <c r="D39" s="849">
        <f>'2. sz. melléklet'!C59</f>
        <v>10</v>
      </c>
      <c r="E39" s="849">
        <f>'2. sz. melléklet'!D59</f>
        <v>10</v>
      </c>
      <c r="F39" s="827">
        <f t="shared" si="0"/>
        <v>1</v>
      </c>
      <c r="G39" s="850"/>
      <c r="H39" s="877"/>
      <c r="I39" s="840"/>
      <c r="J39" s="831"/>
      <c r="K39" s="832"/>
      <c r="L39" s="822"/>
    </row>
    <row r="40" spans="1:12" ht="20.25">
      <c r="A40" s="878"/>
      <c r="B40" s="858" t="s">
        <v>741</v>
      </c>
      <c r="C40" s="848"/>
      <c r="D40" s="849">
        <f>'2. sz. melléklet'!C60</f>
        <v>250</v>
      </c>
      <c r="E40" s="849">
        <f>'2. sz. melléklet'!D60</f>
        <v>250</v>
      </c>
      <c r="F40" s="827">
        <f t="shared" si="0"/>
        <v>1</v>
      </c>
      <c r="G40" s="850"/>
      <c r="H40" s="829" t="s">
        <v>582</v>
      </c>
      <c r="I40" s="880">
        <f>'2. sz. melléklet'!F58</f>
        <v>193590</v>
      </c>
      <c r="J40" s="862">
        <f>'2. sz. melléklet'!G58</f>
        <v>220960</v>
      </c>
      <c r="K40" s="863">
        <f>'2. sz. melléklet'!H58</f>
        <v>182067</v>
      </c>
      <c r="L40" s="864">
        <f>K40/J40</f>
        <v>0.8239817161477191</v>
      </c>
    </row>
    <row r="41" spans="1:12" ht="20.25">
      <c r="A41" s="828" t="s">
        <v>709</v>
      </c>
      <c r="B41" s="829"/>
      <c r="C41" s="848"/>
      <c r="D41" s="841">
        <f>SUM(D42:D43)</f>
        <v>27037</v>
      </c>
      <c r="E41" s="841">
        <f>SUM(E42:E43)</f>
        <v>23660</v>
      </c>
      <c r="F41" s="816">
        <f t="shared" si="0"/>
        <v>0.8750970891740948</v>
      </c>
      <c r="G41" s="850"/>
      <c r="H41" s="845" t="s">
        <v>566</v>
      </c>
      <c r="I41" s="848"/>
      <c r="J41" s="862">
        <f>'2. sz. melléklet'!G59</f>
        <v>29986</v>
      </c>
      <c r="K41" s="863">
        <f>'2. sz. melléklet'!H59</f>
        <v>29586</v>
      </c>
      <c r="L41" s="864">
        <f>K41/J41</f>
        <v>0.986660441539385</v>
      </c>
    </row>
    <row r="42" spans="1:12" ht="18.75" customHeight="1">
      <c r="A42" s="828"/>
      <c r="B42" s="829" t="s">
        <v>566</v>
      </c>
      <c r="C42" s="848"/>
      <c r="D42" s="849">
        <f>'2. sz. melléklet'!C33</f>
        <v>17000</v>
      </c>
      <c r="E42" s="849">
        <f>'2. sz. melléklet'!D33</f>
        <v>17000</v>
      </c>
      <c r="F42" s="827">
        <f t="shared" si="0"/>
        <v>1</v>
      </c>
      <c r="G42" s="850"/>
      <c r="H42" s="881" t="s">
        <v>245</v>
      </c>
      <c r="I42" s="848">
        <f>SUM(I43:I44)</f>
        <v>247117</v>
      </c>
      <c r="J42" s="849">
        <f>SUM(J43:J44)</f>
        <v>0</v>
      </c>
      <c r="K42" s="875">
        <f>SUM(K43:K44)</f>
        <v>0</v>
      </c>
      <c r="L42" s="864">
        <v>0</v>
      </c>
    </row>
    <row r="43" spans="1:12" ht="39" customHeight="1">
      <c r="A43" s="828"/>
      <c r="B43" s="860" t="s">
        <v>591</v>
      </c>
      <c r="C43" s="848"/>
      <c r="D43" s="849">
        <f>'2. sz. melléklet'!C34</f>
        <v>10037</v>
      </c>
      <c r="E43" s="849">
        <f>'2. sz. melléklet'!D34</f>
        <v>6660</v>
      </c>
      <c r="F43" s="816">
        <f>E43/D43</f>
        <v>0.663544883929461</v>
      </c>
      <c r="G43" s="823"/>
      <c r="H43" s="882" t="s">
        <v>772</v>
      </c>
      <c r="I43" s="868">
        <f>'2. sz. melléklet'!F62</f>
        <v>77075</v>
      </c>
      <c r="J43" s="869">
        <f>'2. sz. melléklet'!G62</f>
        <v>0</v>
      </c>
      <c r="K43" s="870">
        <f>'2. sz. melléklet'!H62</f>
        <v>0</v>
      </c>
      <c r="L43" s="864">
        <v>0</v>
      </c>
    </row>
    <row r="44" spans="1:12" ht="18" customHeight="1">
      <c r="A44" s="828"/>
      <c r="B44" s="860"/>
      <c r="C44" s="848"/>
      <c r="D44" s="875"/>
      <c r="E44" s="875"/>
      <c r="F44" s="816"/>
      <c r="G44" s="823"/>
      <c r="H44" s="867" t="s">
        <v>583</v>
      </c>
      <c r="I44" s="868">
        <f>'2. sz. melléklet'!F63</f>
        <v>170042</v>
      </c>
      <c r="J44" s="869">
        <f>'2. sz. melléklet'!G63</f>
        <v>0</v>
      </c>
      <c r="K44" s="870">
        <f>'2. sz. melléklet'!H63</f>
        <v>0</v>
      </c>
      <c r="L44" s="864">
        <v>0</v>
      </c>
    </row>
    <row r="45" spans="1:12" ht="20.25" customHeight="1">
      <c r="A45" s="850" t="s">
        <v>614</v>
      </c>
      <c r="B45" s="851"/>
      <c r="C45" s="840">
        <f>SUM(C46)</f>
        <v>28075</v>
      </c>
      <c r="D45" s="841">
        <f>SUM(D46:D48)</f>
        <v>36253</v>
      </c>
      <c r="E45" s="841">
        <f>SUM(E46:E48)</f>
        <v>35865</v>
      </c>
      <c r="F45" s="816">
        <f t="shared" si="0"/>
        <v>0.9892974374534521</v>
      </c>
      <c r="G45" s="823"/>
      <c r="H45" s="845"/>
      <c r="I45" s="848"/>
      <c r="J45" s="831"/>
      <c r="K45" s="832"/>
      <c r="L45" s="822"/>
    </row>
    <row r="46" spans="1:12" ht="30.75" customHeight="1">
      <c r="A46" s="883"/>
      <c r="B46" s="884" t="s">
        <v>565</v>
      </c>
      <c r="C46" s="848">
        <f>'2. sz. melléklet'!B62</f>
        <v>28075</v>
      </c>
      <c r="D46" s="849">
        <f>'2. sz. melléklet'!C62</f>
        <v>1000</v>
      </c>
      <c r="E46" s="849">
        <f>'2. sz. melléklet'!D62</f>
        <v>1000</v>
      </c>
      <c r="F46" s="827">
        <f t="shared" si="0"/>
        <v>1</v>
      </c>
      <c r="G46" s="850"/>
      <c r="H46" s="882"/>
      <c r="I46" s="868"/>
      <c r="J46" s="831"/>
      <c r="K46" s="832"/>
      <c r="L46" s="822"/>
    </row>
    <row r="47" spans="1:12" ht="20.25" customHeight="1">
      <c r="A47" s="828"/>
      <c r="B47" s="829" t="s">
        <v>566</v>
      </c>
      <c r="C47" s="848"/>
      <c r="D47" s="849">
        <f>'2. sz. melléklet'!C63</f>
        <v>27794</v>
      </c>
      <c r="E47" s="849">
        <f>'2. sz. melléklet'!D63</f>
        <v>28008</v>
      </c>
      <c r="F47" s="827">
        <f t="shared" si="0"/>
        <v>1.0076995034899618</v>
      </c>
      <c r="G47" s="850"/>
      <c r="H47" s="867"/>
      <c r="I47" s="868"/>
      <c r="J47" s="831"/>
      <c r="K47" s="832"/>
      <c r="L47" s="822"/>
    </row>
    <row r="48" spans="1:12" ht="20.25" customHeight="1">
      <c r="A48" s="885"/>
      <c r="B48" s="829" t="s">
        <v>591</v>
      </c>
      <c r="C48" s="834"/>
      <c r="D48" s="849">
        <f>'2. sz. melléklet'!C64</f>
        <v>7459</v>
      </c>
      <c r="E48" s="849">
        <f>'2. sz. melléklet'!D64</f>
        <v>6857</v>
      </c>
      <c r="F48" s="827">
        <f t="shared" si="0"/>
        <v>0.9192921303123743</v>
      </c>
      <c r="G48" s="823"/>
      <c r="H48" s="851"/>
      <c r="I48" s="848"/>
      <c r="J48" s="831"/>
      <c r="K48" s="832"/>
      <c r="L48" s="822"/>
    </row>
    <row r="49" spans="1:12" ht="12.75" customHeight="1">
      <c r="A49" s="885"/>
      <c r="B49" s="886"/>
      <c r="C49" s="834"/>
      <c r="D49" s="866"/>
      <c r="E49" s="866"/>
      <c r="F49" s="816"/>
      <c r="G49" s="823"/>
      <c r="H49" s="851"/>
      <c r="I49" s="848"/>
      <c r="J49" s="831"/>
      <c r="K49" s="832"/>
      <c r="L49" s="822"/>
    </row>
    <row r="50" spans="1:12" ht="18.75" customHeight="1">
      <c r="A50" s="887" t="s">
        <v>140</v>
      </c>
      <c r="B50" s="860"/>
      <c r="C50" s="888">
        <f>SUM(C6+C10+C14+C20+C27+C37+C45)</f>
        <v>6497883</v>
      </c>
      <c r="D50" s="889">
        <f>SUM(D6+D10+D14+D20+D27+D37+D45+D17+D41)</f>
        <v>6111318</v>
      </c>
      <c r="E50" s="889">
        <f>SUM(E6+E10+E14+E20+E27+E37+E45+E17+E41)</f>
        <v>5939315</v>
      </c>
      <c r="F50" s="816">
        <f t="shared" si="0"/>
        <v>0.9718550073813864</v>
      </c>
      <c r="G50" s="828" t="s">
        <v>141</v>
      </c>
      <c r="H50" s="890"/>
      <c r="I50" s="830">
        <f>SUM(I6+I10+I13+I16+I21+I32+I35+I38)</f>
        <v>7307145</v>
      </c>
      <c r="J50" s="891">
        <f>SUM(J6+J10+J13+J16+J21+J32+J35+J38)</f>
        <v>6828881</v>
      </c>
      <c r="K50" s="892">
        <f>SUM(K6+K10+K13+K16+K21+K32+K35+K38)</f>
        <v>6399946</v>
      </c>
      <c r="L50" s="822">
        <f>K50/J50</f>
        <v>0.937188098606492</v>
      </c>
    </row>
    <row r="51" spans="1:12" ht="12.75" customHeight="1">
      <c r="A51" s="823"/>
      <c r="B51" s="829"/>
      <c r="C51" s="834"/>
      <c r="D51" s="866"/>
      <c r="E51" s="866"/>
      <c r="F51" s="816"/>
      <c r="G51" s="823"/>
      <c r="H51" s="829"/>
      <c r="I51" s="861"/>
      <c r="J51" s="831"/>
      <c r="K51" s="832"/>
      <c r="L51" s="822"/>
    </row>
    <row r="52" spans="1:12" ht="20.25" customHeight="1">
      <c r="A52" s="838" t="s">
        <v>183</v>
      </c>
      <c r="B52" s="839"/>
      <c r="C52" s="840"/>
      <c r="D52" s="842"/>
      <c r="E52" s="842"/>
      <c r="F52" s="816"/>
      <c r="G52" s="1134" t="s">
        <v>720</v>
      </c>
      <c r="H52" s="1135"/>
      <c r="I52" s="848"/>
      <c r="J52" s="841">
        <f>SUM(J53:J55)</f>
        <v>257081</v>
      </c>
      <c r="K52" s="842">
        <f>SUM(K53:K55)</f>
        <v>257080</v>
      </c>
      <c r="L52" s="822">
        <f>K52/J52</f>
        <v>0.9999961101753921</v>
      </c>
    </row>
    <row r="53" spans="1:12" ht="20.25" customHeight="1">
      <c r="A53" s="838"/>
      <c r="B53" s="839"/>
      <c r="C53" s="840"/>
      <c r="D53" s="842"/>
      <c r="E53" s="842"/>
      <c r="F53" s="816"/>
      <c r="G53" s="1156" t="s">
        <v>717</v>
      </c>
      <c r="H53" s="1157"/>
      <c r="I53" s="848"/>
      <c r="J53" s="849">
        <f>'2. sz. melléklet'!G72</f>
        <v>35131</v>
      </c>
      <c r="K53" s="875">
        <f>'2. sz. melléklet'!H72</f>
        <v>35131</v>
      </c>
      <c r="L53" s="864">
        <f>K53/J53</f>
        <v>1</v>
      </c>
    </row>
    <row r="54" spans="1:12" ht="17.25" customHeight="1">
      <c r="A54" s="1140" t="s">
        <v>651</v>
      </c>
      <c r="B54" s="1141"/>
      <c r="C54" s="895"/>
      <c r="D54" s="896"/>
      <c r="E54" s="896"/>
      <c r="F54" s="816"/>
      <c r="G54" s="1156" t="s">
        <v>718</v>
      </c>
      <c r="H54" s="1157"/>
      <c r="I54" s="852"/>
      <c r="J54" s="849">
        <f>'2. sz. melléklet'!G73</f>
        <v>55556</v>
      </c>
      <c r="K54" s="875">
        <f>'2. sz. melléklet'!H73</f>
        <v>55555</v>
      </c>
      <c r="L54" s="864">
        <f>K54/J54</f>
        <v>0.9999820001439989</v>
      </c>
    </row>
    <row r="55" spans="1:12" ht="18.75" customHeight="1">
      <c r="A55" s="893" t="s">
        <v>652</v>
      </c>
      <c r="B55" s="894"/>
      <c r="C55" s="897">
        <f>SUM(C56:C56)</f>
        <v>709262</v>
      </c>
      <c r="D55" s="898">
        <f>SUM(D56:D58)</f>
        <v>821279</v>
      </c>
      <c r="E55" s="898">
        <f>SUM(E56:E58)</f>
        <v>821278</v>
      </c>
      <c r="F55" s="816">
        <f t="shared" si="0"/>
        <v>0.9999987823869843</v>
      </c>
      <c r="G55" s="1136" t="s">
        <v>771</v>
      </c>
      <c r="H55" s="1137"/>
      <c r="I55" s="852"/>
      <c r="J55" s="849">
        <f>'2. sz. melléklet'!G74</f>
        <v>166394</v>
      </c>
      <c r="K55" s="875">
        <f>'2. sz. melléklet'!H74</f>
        <v>166394</v>
      </c>
      <c r="L55" s="864">
        <f>K55/J55</f>
        <v>1</v>
      </c>
    </row>
    <row r="56" spans="1:12" ht="17.25" customHeight="1">
      <c r="A56" s="844"/>
      <c r="B56" s="899" t="s">
        <v>653</v>
      </c>
      <c r="C56" s="895">
        <f>'2. sz. melléklet'!B74</f>
        <v>709262</v>
      </c>
      <c r="D56" s="900">
        <f>'2. sz. melléklet'!C74</f>
        <v>614775</v>
      </c>
      <c r="E56" s="900">
        <f>'2. sz. melléklet'!D74</f>
        <v>614775</v>
      </c>
      <c r="F56" s="827">
        <f t="shared" si="0"/>
        <v>1</v>
      </c>
      <c r="G56" s="1134" t="s">
        <v>737</v>
      </c>
      <c r="H56" s="1135"/>
      <c r="I56" s="852"/>
      <c r="J56" s="841">
        <f>'2. sz. melléklet'!G39</f>
        <v>696366</v>
      </c>
      <c r="K56" s="842">
        <f>'2. sz. melléklet'!H39</f>
        <v>696366</v>
      </c>
      <c r="L56" s="822">
        <f>K56/J56</f>
        <v>1</v>
      </c>
    </row>
    <row r="57" spans="1:12" ht="18.75" customHeight="1">
      <c r="A57" s="893"/>
      <c r="B57" s="851" t="s">
        <v>771</v>
      </c>
      <c r="C57" s="895"/>
      <c r="D57" s="901">
        <f>'2. sz. melléklet'!C75</f>
        <v>166394</v>
      </c>
      <c r="E57" s="901">
        <f>'2. sz. melléklet'!D75</f>
        <v>166394</v>
      </c>
      <c r="F57" s="827">
        <f t="shared" si="0"/>
        <v>1</v>
      </c>
      <c r="G57" s="855"/>
      <c r="H57" s="856"/>
      <c r="I57" s="852"/>
      <c r="J57" s="831"/>
      <c r="K57" s="832"/>
      <c r="L57" s="822"/>
    </row>
    <row r="58" spans="1:12" ht="18.75" customHeight="1">
      <c r="A58" s="893"/>
      <c r="B58" s="851" t="s">
        <v>1020</v>
      </c>
      <c r="C58" s="895"/>
      <c r="D58" s="901">
        <f>'2. sz. melléklet'!C38</f>
        <v>40110</v>
      </c>
      <c r="E58" s="901">
        <v>40109</v>
      </c>
      <c r="F58" s="827">
        <f t="shared" si="0"/>
        <v>0.999975068561456</v>
      </c>
      <c r="G58" s="855"/>
      <c r="H58" s="856"/>
      <c r="I58" s="852"/>
      <c r="J58" s="831"/>
      <c r="K58" s="832"/>
      <c r="L58" s="822"/>
    </row>
    <row r="59" spans="1:12" ht="20.25" customHeight="1">
      <c r="A59" s="1140" t="s">
        <v>742</v>
      </c>
      <c r="B59" s="1141"/>
      <c r="C59" s="895"/>
      <c r="D59" s="898">
        <f>'2. sz. melléklet'!C39</f>
        <v>696366</v>
      </c>
      <c r="E59" s="898">
        <f>'2. sz. melléklet'!D39</f>
        <v>696366</v>
      </c>
      <c r="F59" s="816">
        <f t="shared" si="0"/>
        <v>1</v>
      </c>
      <c r="G59" s="1134" t="s">
        <v>706</v>
      </c>
      <c r="H59" s="1135"/>
      <c r="I59" s="852"/>
      <c r="J59" s="841">
        <f>'2. sz. melléklet'!G36</f>
        <v>1500000</v>
      </c>
      <c r="K59" s="842">
        <f>'2. sz. melléklet'!H36</f>
        <v>1500000</v>
      </c>
      <c r="L59" s="822">
        <f>K59/J59</f>
        <v>1</v>
      </c>
    </row>
    <row r="60" spans="1:12" ht="17.25" customHeight="1">
      <c r="A60" s="1140" t="s">
        <v>616</v>
      </c>
      <c r="B60" s="1141"/>
      <c r="C60" s="897">
        <v>100000</v>
      </c>
      <c r="D60" s="898">
        <v>153365</v>
      </c>
      <c r="E60" s="898">
        <v>153365</v>
      </c>
      <c r="F60" s="816">
        <f t="shared" si="0"/>
        <v>1</v>
      </c>
      <c r="G60" s="850"/>
      <c r="H60" s="890"/>
      <c r="I60" s="852"/>
      <c r="J60" s="831"/>
      <c r="K60" s="832"/>
      <c r="L60" s="822"/>
    </row>
    <row r="61" spans="1:12" ht="12.75" customHeight="1">
      <c r="A61" s="883"/>
      <c r="B61" s="902"/>
      <c r="C61" s="895"/>
      <c r="D61" s="896"/>
      <c r="E61" s="896"/>
      <c r="F61" s="816"/>
      <c r="G61" s="828"/>
      <c r="H61" s="890"/>
      <c r="I61" s="852"/>
      <c r="J61" s="831"/>
      <c r="K61" s="832"/>
      <c r="L61" s="822"/>
    </row>
    <row r="62" spans="1:12" ht="18.75" customHeight="1">
      <c r="A62" s="1142" t="s">
        <v>139</v>
      </c>
      <c r="B62" s="1143"/>
      <c r="C62" s="897">
        <f>'2. sz. melléklet'!B41</f>
        <v>1656216</v>
      </c>
      <c r="D62" s="898">
        <f>'2. sz. melléklet'!C41</f>
        <v>1606891</v>
      </c>
      <c r="E62" s="898">
        <f>'2. sz. melléklet'!D41</f>
        <v>1581155</v>
      </c>
      <c r="F62" s="816">
        <f t="shared" si="0"/>
        <v>0.9839839790004424</v>
      </c>
      <c r="G62" s="828" t="s">
        <v>244</v>
      </c>
      <c r="H62" s="890"/>
      <c r="I62" s="852">
        <f>'2. sz. melléklet'!F37</f>
        <v>1656216</v>
      </c>
      <c r="J62" s="853">
        <f>'2. sz. melléklet'!G37</f>
        <v>1606891</v>
      </c>
      <c r="K62" s="854">
        <f>'2. sz. melléklet'!H37</f>
        <v>1581155</v>
      </c>
      <c r="L62" s="822">
        <f>K62/J62</f>
        <v>0.9839839790004424</v>
      </c>
    </row>
    <row r="63" spans="1:12" ht="12.75" customHeight="1">
      <c r="A63" s="903"/>
      <c r="B63" s="904"/>
      <c r="C63" s="897"/>
      <c r="D63" s="905"/>
      <c r="E63" s="905"/>
      <c r="F63" s="816"/>
      <c r="G63" s="828"/>
      <c r="H63" s="890"/>
      <c r="I63" s="852"/>
      <c r="J63" s="831"/>
      <c r="K63" s="832"/>
      <c r="L63" s="822"/>
    </row>
    <row r="64" spans="1:12" ht="18.75" customHeight="1">
      <c r="A64" s="1146" t="s">
        <v>712</v>
      </c>
      <c r="B64" s="1147"/>
      <c r="C64" s="834"/>
      <c r="D64" s="898">
        <f>'2. sz. melléklet'!C40</f>
        <v>1500000</v>
      </c>
      <c r="E64" s="898">
        <f>'2. sz. melléklet'!D40</f>
        <v>1500000</v>
      </c>
      <c r="F64" s="816">
        <f t="shared" si="0"/>
        <v>1</v>
      </c>
      <c r="G64" s="828"/>
      <c r="H64" s="890"/>
      <c r="I64" s="852"/>
      <c r="J64" s="831"/>
      <c r="K64" s="832"/>
      <c r="L64" s="822"/>
    </row>
    <row r="65" spans="1:12" ht="24" customHeight="1">
      <c r="A65" s="1144" t="s">
        <v>142</v>
      </c>
      <c r="B65" s="1145"/>
      <c r="C65" s="888">
        <f>SUM(C54+C55+C59+C60+C62)</f>
        <v>2465478</v>
      </c>
      <c r="D65" s="889">
        <f>SUM(D54+D55+D59+D60+D62+D64)</f>
        <v>4777901</v>
      </c>
      <c r="E65" s="889">
        <f>SUM(E54+E55+E59+E60+E62+E64)</f>
        <v>4752164</v>
      </c>
      <c r="F65" s="816">
        <f t="shared" si="0"/>
        <v>0.9946133249726188</v>
      </c>
      <c r="G65" s="828" t="s">
        <v>143</v>
      </c>
      <c r="H65" s="906"/>
      <c r="I65" s="840">
        <f>SUM(I62:I64)</f>
        <v>1656216</v>
      </c>
      <c r="J65" s="841">
        <f>(J52+J59+J62+J56)</f>
        <v>4060338</v>
      </c>
      <c r="K65" s="842">
        <f>(K52+K59+K62+K56)</f>
        <v>4034601</v>
      </c>
      <c r="L65" s="822">
        <f>K65/J65</f>
        <v>0.9936613651375822</v>
      </c>
    </row>
    <row r="66" spans="1:12" ht="12.75" customHeight="1">
      <c r="A66" s="1138"/>
      <c r="B66" s="1139"/>
      <c r="C66" s="848"/>
      <c r="D66" s="875"/>
      <c r="E66" s="875"/>
      <c r="F66" s="816"/>
      <c r="G66" s="828"/>
      <c r="H66" s="829"/>
      <c r="I66" s="834"/>
      <c r="J66" s="831"/>
      <c r="K66" s="832"/>
      <c r="L66" s="822"/>
    </row>
    <row r="67" spans="1:12" ht="19.5" customHeight="1" thickBot="1">
      <c r="A67" s="907" t="s">
        <v>619</v>
      </c>
      <c r="B67" s="908"/>
      <c r="C67" s="909">
        <f>SUM(C50+C65)</f>
        <v>8963361</v>
      </c>
      <c r="D67" s="910">
        <f>SUM(D50+D65)</f>
        <v>10889219</v>
      </c>
      <c r="E67" s="910">
        <f>SUM(E50+E65)</f>
        <v>10691479</v>
      </c>
      <c r="F67" s="911">
        <f t="shared" si="0"/>
        <v>0.9818407546032456</v>
      </c>
      <c r="G67" s="912" t="s">
        <v>586</v>
      </c>
      <c r="H67" s="913"/>
      <c r="I67" s="914">
        <f>SUM(I50,I65)</f>
        <v>8963361</v>
      </c>
      <c r="J67" s="915">
        <f>SUM(J50,J65)</f>
        <v>10889219</v>
      </c>
      <c r="K67" s="916">
        <f>SUM(K50,K65)</f>
        <v>10434547</v>
      </c>
      <c r="L67" s="911">
        <f>K67/J67</f>
        <v>0.9582456740010463</v>
      </c>
    </row>
    <row r="68" spans="1:12" ht="19.5" customHeight="1">
      <c r="A68" s="917"/>
      <c r="B68" s="918"/>
      <c r="C68" s="918"/>
      <c r="D68" s="918"/>
      <c r="E68" s="918"/>
      <c r="F68" s="918"/>
      <c r="G68" s="919"/>
      <c r="H68" s="920"/>
      <c r="I68" s="921"/>
      <c r="J68" s="921"/>
      <c r="K68" s="921"/>
      <c r="L68" s="920"/>
    </row>
    <row r="69" spans="1:12" ht="19.5" customHeight="1">
      <c r="A69" s="917"/>
      <c r="B69" s="1148" t="s">
        <v>1043</v>
      </c>
      <c r="C69" s="1148"/>
      <c r="D69" s="1148"/>
      <c r="E69" s="1148"/>
      <c r="F69" s="1148"/>
      <c r="G69" s="1148"/>
      <c r="H69" s="922"/>
      <c r="I69" s="923"/>
      <c r="J69" s="922"/>
      <c r="K69" s="922"/>
      <c r="L69" s="922"/>
    </row>
    <row r="70" spans="1:12" ht="20.25" customHeight="1" thickBot="1">
      <c r="A70" s="922"/>
      <c r="B70" s="922"/>
      <c r="C70" s="923"/>
      <c r="D70" s="923"/>
      <c r="E70" s="923"/>
      <c r="F70" s="923"/>
      <c r="G70" s="922"/>
      <c r="H70" s="922"/>
      <c r="I70" s="923"/>
      <c r="J70" s="922"/>
      <c r="K70" s="922"/>
      <c r="L70" s="922"/>
    </row>
    <row r="71" spans="1:12" ht="72.75" customHeight="1">
      <c r="A71" s="922"/>
      <c r="B71" s="924"/>
      <c r="C71" s="925" t="s">
        <v>5</v>
      </c>
      <c r="D71" s="926" t="s">
        <v>12</v>
      </c>
      <c r="E71" s="926" t="s">
        <v>1040</v>
      </c>
      <c r="F71" s="926" t="s">
        <v>543</v>
      </c>
      <c r="G71" s="927" t="s">
        <v>257</v>
      </c>
      <c r="H71" s="920" t="s">
        <v>1050</v>
      </c>
      <c r="I71" s="921"/>
      <c r="J71" s="928"/>
      <c r="K71" s="928"/>
      <c r="L71" s="929"/>
    </row>
    <row r="72" spans="1:12" ht="30" customHeight="1">
      <c r="A72" s="922"/>
      <c r="B72" s="838" t="s">
        <v>1041</v>
      </c>
      <c r="C72" s="930">
        <v>140251</v>
      </c>
      <c r="D72" s="930">
        <v>6008</v>
      </c>
      <c r="E72" s="930">
        <v>5111</v>
      </c>
      <c r="F72" s="930">
        <v>63256</v>
      </c>
      <c r="G72" s="931">
        <f>SUM(C72:F72)</f>
        <v>214626</v>
      </c>
      <c r="H72" s="920"/>
      <c r="I72" s="921"/>
      <c r="J72" s="928"/>
      <c r="K72" s="928"/>
      <c r="L72" s="932"/>
    </row>
    <row r="73" spans="1:12" ht="24.75" customHeight="1">
      <c r="A73" s="922"/>
      <c r="B73" s="838" t="s">
        <v>1045</v>
      </c>
      <c r="C73" s="930"/>
      <c r="D73" s="930"/>
      <c r="E73" s="930">
        <v>63256</v>
      </c>
      <c r="F73" s="930">
        <v>-63256</v>
      </c>
      <c r="G73" s="931">
        <f>SUM(C73:F73)</f>
        <v>0</v>
      </c>
      <c r="H73" s="929"/>
      <c r="I73" s="932"/>
      <c r="J73" s="920"/>
      <c r="K73" s="920"/>
      <c r="L73" s="932"/>
    </row>
    <row r="74" spans="1:12" ht="22.5" customHeight="1">
      <c r="A74" s="922"/>
      <c r="B74" s="838" t="s">
        <v>1046</v>
      </c>
      <c r="C74" s="930">
        <v>20723</v>
      </c>
      <c r="D74" s="930"/>
      <c r="E74" s="930"/>
      <c r="F74" s="930"/>
      <c r="G74" s="931">
        <f>SUM(C74:F74)</f>
        <v>20723</v>
      </c>
      <c r="H74" s="920"/>
      <c r="I74" s="932"/>
      <c r="J74" s="920"/>
      <c r="K74" s="920"/>
      <c r="L74" s="932"/>
    </row>
    <row r="75" spans="1:12" ht="22.5" customHeight="1">
      <c r="A75" s="922"/>
      <c r="B75" s="838" t="s">
        <v>1047</v>
      </c>
      <c r="C75" s="930">
        <v>8605115</v>
      </c>
      <c r="D75" s="930">
        <v>661743</v>
      </c>
      <c r="E75" s="930">
        <v>1424621</v>
      </c>
      <c r="F75" s="930"/>
      <c r="G75" s="931">
        <f aca="true" t="shared" si="1" ref="G75:G80">SUM(C75:F75)</f>
        <v>10691479</v>
      </c>
      <c r="H75" s="920"/>
      <c r="I75" s="932"/>
      <c r="J75" s="920"/>
      <c r="K75" s="920"/>
      <c r="L75" s="932"/>
    </row>
    <row r="76" spans="1:12" ht="22.5" customHeight="1">
      <c r="A76" s="922"/>
      <c r="B76" s="838" t="s">
        <v>557</v>
      </c>
      <c r="C76" s="930">
        <v>8421253</v>
      </c>
      <c r="D76" s="930">
        <v>633616</v>
      </c>
      <c r="E76" s="930">
        <v>1379678</v>
      </c>
      <c r="F76" s="930"/>
      <c r="G76" s="931">
        <f t="shared" si="1"/>
        <v>10434547</v>
      </c>
      <c r="H76" s="920"/>
      <c r="I76" s="932"/>
      <c r="J76" s="920"/>
      <c r="K76" s="920"/>
      <c r="L76" s="932"/>
    </row>
    <row r="77" spans="1:12" ht="21" customHeight="1">
      <c r="A77" s="922"/>
      <c r="B77" s="838" t="s">
        <v>258</v>
      </c>
      <c r="C77" s="930">
        <v>-81606</v>
      </c>
      <c r="D77" s="930">
        <v>-3010</v>
      </c>
      <c r="E77" s="930">
        <v>-68749</v>
      </c>
      <c r="F77" s="930"/>
      <c r="G77" s="931">
        <f t="shared" si="1"/>
        <v>-153365</v>
      </c>
      <c r="H77" s="920"/>
      <c r="I77" s="932"/>
      <c r="J77" s="920"/>
      <c r="K77" s="920"/>
      <c r="L77" s="932"/>
    </row>
    <row r="78" spans="1:12" ht="21.75" customHeight="1">
      <c r="A78" s="933"/>
      <c r="B78" s="838" t="s">
        <v>1042</v>
      </c>
      <c r="C78" s="934">
        <v>63227</v>
      </c>
      <c r="D78" s="934">
        <v>-18846</v>
      </c>
      <c r="E78" s="934">
        <v>-31714</v>
      </c>
      <c r="F78" s="934"/>
      <c r="G78" s="931">
        <f t="shared" si="1"/>
        <v>12667</v>
      </c>
      <c r="H78" s="929"/>
      <c r="I78" s="932"/>
      <c r="J78" s="932"/>
      <c r="K78" s="932"/>
      <c r="L78" s="920"/>
    </row>
    <row r="79" spans="1:12" ht="21" customHeight="1">
      <c r="A79" s="922"/>
      <c r="B79" s="838" t="s">
        <v>1048</v>
      </c>
      <c r="C79" s="930">
        <v>-1</v>
      </c>
      <c r="D79" s="930">
        <v>1</v>
      </c>
      <c r="E79" s="930"/>
      <c r="F79" s="930"/>
      <c r="G79" s="931">
        <f t="shared" si="1"/>
        <v>0</v>
      </c>
      <c r="H79" s="922"/>
      <c r="I79" s="923"/>
      <c r="J79" s="922"/>
      <c r="K79" s="922"/>
      <c r="L79" s="922"/>
    </row>
    <row r="80" spans="1:12" ht="18.75" customHeight="1" thickBot="1">
      <c r="A80" s="922"/>
      <c r="B80" s="935" t="s">
        <v>1049</v>
      </c>
      <c r="C80" s="936">
        <v>326456</v>
      </c>
      <c r="D80" s="936">
        <v>12280</v>
      </c>
      <c r="E80" s="936">
        <v>12847</v>
      </c>
      <c r="F80" s="936"/>
      <c r="G80" s="937">
        <f t="shared" si="1"/>
        <v>351583</v>
      </c>
      <c r="H80" s="922"/>
      <c r="I80" s="923"/>
      <c r="J80" s="922"/>
      <c r="K80" s="922"/>
      <c r="L80" s="922"/>
    </row>
    <row r="81" spans="1:12" ht="20.25">
      <c r="A81" s="922"/>
      <c r="B81" s="922"/>
      <c r="C81" s="923"/>
      <c r="D81" s="923"/>
      <c r="E81" s="923"/>
      <c r="F81" s="923"/>
      <c r="G81" s="922"/>
      <c r="H81" s="922"/>
      <c r="I81" s="923"/>
      <c r="J81" s="922"/>
      <c r="K81" s="922"/>
      <c r="L81" s="922"/>
    </row>
  </sheetData>
  <sheetProtection/>
  <mergeCells count="20">
    <mergeCell ref="B69:G69"/>
    <mergeCell ref="A2:I2"/>
    <mergeCell ref="A4:C4"/>
    <mergeCell ref="G4:I4"/>
    <mergeCell ref="A54:B54"/>
    <mergeCell ref="A5:B5"/>
    <mergeCell ref="A17:B17"/>
    <mergeCell ref="G54:H54"/>
    <mergeCell ref="G53:H53"/>
    <mergeCell ref="G52:H52"/>
    <mergeCell ref="G5:H5"/>
    <mergeCell ref="G56:H56"/>
    <mergeCell ref="G55:H55"/>
    <mergeCell ref="G59:H59"/>
    <mergeCell ref="A66:B66"/>
    <mergeCell ref="A59:B59"/>
    <mergeCell ref="A60:B60"/>
    <mergeCell ref="A62:B62"/>
    <mergeCell ref="A65:B65"/>
    <mergeCell ref="A64:B64"/>
  </mergeCells>
  <printOptions horizontalCentered="1"/>
  <pageMargins left="0.7874015748031497" right="0.7874015748031497" top="0.35433070866141736" bottom="0.4724409448818898" header="0.2362204724409449" footer="0.15748031496062992"/>
  <pageSetup horizontalDpi="600" verticalDpi="600" orientation="landscape" paperSize="9" scale="30" r:id="rId1"/>
  <headerFooter alignWithMargins="0">
    <oddHeader>&amp;L&amp;14 1. melléklet a 16/2016.(V.26.)  önkormányzati rendelethez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zoomScalePageLayoutView="0" workbookViewId="0" topLeftCell="B10">
      <selection activeCell="S33" sqref="S33"/>
    </sheetView>
  </sheetViews>
  <sheetFormatPr defaultColWidth="9.00390625" defaultRowHeight="12.75"/>
  <cols>
    <col min="1" max="1" width="5.00390625" style="0" hidden="1" customWidth="1"/>
    <col min="2" max="2" width="8.00390625" style="0" customWidth="1"/>
    <col min="3" max="3" width="2.75390625" style="0" hidden="1" customWidth="1"/>
    <col min="4" max="4" width="88.00390625" style="0" customWidth="1"/>
    <col min="5" max="5" width="9.125" style="0" customWidth="1"/>
    <col min="6" max="12" width="9.125" style="0" hidden="1" customWidth="1"/>
    <col min="13" max="13" width="8.875" style="0" customWidth="1"/>
    <col min="14" max="16" width="9.125" style="0" hidden="1" customWidth="1"/>
    <col min="17" max="18" width="0.12890625" style="0" hidden="1" customWidth="1"/>
  </cols>
  <sheetData>
    <row r="1" spans="1:19" ht="15.75">
      <c r="A1" s="444"/>
      <c r="B1" s="444"/>
      <c r="C1" s="444"/>
      <c r="D1" s="1216" t="s">
        <v>27</v>
      </c>
      <c r="E1" s="1217"/>
      <c r="F1" s="1217"/>
      <c r="G1" s="1217"/>
      <c r="H1" s="1217"/>
      <c r="I1" s="1217"/>
      <c r="J1" s="1217"/>
      <c r="K1" s="1217"/>
      <c r="L1" s="1217"/>
      <c r="M1" s="1217"/>
      <c r="N1" s="1217"/>
      <c r="O1" s="1217"/>
      <c r="P1" s="1217"/>
      <c r="Q1" s="1217"/>
      <c r="R1" s="1217"/>
      <c r="S1" s="1218"/>
    </row>
    <row r="2" spans="1:19" ht="15.75">
      <c r="A2" s="444"/>
      <c r="B2" s="444"/>
      <c r="C2" s="444"/>
      <c r="D2" s="1219" t="s">
        <v>16</v>
      </c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1"/>
    </row>
    <row r="3" spans="1:19" ht="12.75">
      <c r="A3" s="444"/>
      <c r="B3" s="444"/>
      <c r="C3" s="444"/>
      <c r="D3" s="699"/>
      <c r="E3" s="700"/>
      <c r="F3" s="700"/>
      <c r="G3" s="460"/>
      <c r="H3" s="460"/>
      <c r="I3" s="460"/>
      <c r="J3" s="460"/>
      <c r="K3" s="458"/>
      <c r="L3" s="458"/>
      <c r="M3" s="460"/>
      <c r="N3" s="459"/>
      <c r="O3" s="459"/>
      <c r="P3" s="459"/>
      <c r="Q3" s="459"/>
      <c r="R3" s="459"/>
      <c r="S3" s="697"/>
    </row>
    <row r="4" spans="1:19" ht="33.75" customHeight="1">
      <c r="A4" s="465" t="s">
        <v>39</v>
      </c>
      <c r="B4" s="465"/>
      <c r="C4" s="465"/>
      <c r="D4" s="461" t="s">
        <v>621</v>
      </c>
      <c r="E4" s="701" t="s">
        <v>4</v>
      </c>
      <c r="F4" s="702" t="s">
        <v>663</v>
      </c>
      <c r="G4" s="703" t="s">
        <v>660</v>
      </c>
      <c r="H4" s="703" t="s">
        <v>744</v>
      </c>
      <c r="I4" s="704" t="s">
        <v>722</v>
      </c>
      <c r="J4" s="703" t="s">
        <v>800</v>
      </c>
      <c r="K4" s="703" t="s">
        <v>782</v>
      </c>
      <c r="L4" s="703" t="s">
        <v>995</v>
      </c>
      <c r="M4" s="703" t="s">
        <v>976</v>
      </c>
      <c r="N4" s="459"/>
      <c r="O4" s="459"/>
      <c r="P4" s="459"/>
      <c r="Q4" s="459"/>
      <c r="R4" s="459"/>
      <c r="S4" s="705" t="s">
        <v>1032</v>
      </c>
    </row>
    <row r="5" spans="1:19" ht="12.75" customHeight="1">
      <c r="A5" s="444"/>
      <c r="B5" s="444"/>
      <c r="C5" s="444"/>
      <c r="D5" s="457"/>
      <c r="E5" s="458"/>
      <c r="F5" s="458"/>
      <c r="G5" s="460"/>
      <c r="H5" s="460"/>
      <c r="I5" s="460"/>
      <c r="J5" s="460"/>
      <c r="K5" s="458"/>
      <c r="L5" s="458"/>
      <c r="M5" s="460"/>
      <c r="N5" s="459"/>
      <c r="O5" s="459"/>
      <c r="P5" s="459"/>
      <c r="Q5" s="459"/>
      <c r="R5" s="459"/>
      <c r="S5" s="697"/>
    </row>
    <row r="6" spans="1:19" ht="12.75" customHeight="1">
      <c r="A6" s="444"/>
      <c r="B6" s="444"/>
      <c r="C6" s="444"/>
      <c r="D6" s="461" t="s">
        <v>5</v>
      </c>
      <c r="E6" s="462">
        <f aca="true" t="shared" si="0" ref="E6:S6">SUM(E8,E19)</f>
        <v>234263</v>
      </c>
      <c r="F6" s="462">
        <f t="shared" si="0"/>
        <v>5636</v>
      </c>
      <c r="G6" s="462">
        <f t="shared" si="0"/>
        <v>239899</v>
      </c>
      <c r="H6" s="462">
        <f t="shared" si="0"/>
        <v>-12187</v>
      </c>
      <c r="I6" s="462">
        <f t="shared" si="0"/>
        <v>227712</v>
      </c>
      <c r="J6" s="462">
        <f t="shared" si="0"/>
        <v>-2789</v>
      </c>
      <c r="K6" s="462">
        <f t="shared" si="0"/>
        <v>224923</v>
      </c>
      <c r="L6" s="462">
        <f t="shared" si="0"/>
        <v>-52353</v>
      </c>
      <c r="M6" s="462">
        <f t="shared" si="0"/>
        <v>172570</v>
      </c>
      <c r="N6" s="462">
        <f t="shared" si="0"/>
        <v>-7399</v>
      </c>
      <c r="O6" s="462">
        <f t="shared" si="0"/>
        <v>-3359</v>
      </c>
      <c r="P6" s="462">
        <f t="shared" si="0"/>
        <v>-1656</v>
      </c>
      <c r="Q6" s="462">
        <f t="shared" si="0"/>
        <v>-241</v>
      </c>
      <c r="R6" s="462">
        <f t="shared" si="0"/>
        <v>-673</v>
      </c>
      <c r="S6" s="463">
        <f t="shared" si="0"/>
        <v>135727</v>
      </c>
    </row>
    <row r="7" spans="1:19" ht="12.75" customHeight="1">
      <c r="A7" s="444"/>
      <c r="B7" s="444"/>
      <c r="C7" s="444"/>
      <c r="D7" s="457"/>
      <c r="E7" s="458"/>
      <c r="F7" s="458"/>
      <c r="G7" s="458"/>
      <c r="H7" s="458"/>
      <c r="I7" s="458"/>
      <c r="J7" s="458"/>
      <c r="K7" s="458"/>
      <c r="L7" s="458"/>
      <c r="M7" s="460"/>
      <c r="N7" s="459"/>
      <c r="O7" s="459"/>
      <c r="P7" s="459"/>
      <c r="Q7" s="459"/>
      <c r="R7" s="459"/>
      <c r="S7" s="697"/>
    </row>
    <row r="8" spans="1:19" ht="12.75" customHeight="1">
      <c r="A8" s="449"/>
      <c r="B8" s="449"/>
      <c r="C8" s="449"/>
      <c r="D8" s="461" t="s">
        <v>11</v>
      </c>
      <c r="E8" s="462">
        <f>SUM(E9:E11)</f>
        <v>24440</v>
      </c>
      <c r="F8" s="462">
        <f>SUM(F9:F14)</f>
        <v>24625</v>
      </c>
      <c r="G8" s="462">
        <f>SUM(G9:G14)</f>
        <v>49065</v>
      </c>
      <c r="H8" s="462">
        <f>SUM(H9:H15)</f>
        <v>773</v>
      </c>
      <c r="I8" s="462">
        <f>SUM(I9:I15)</f>
        <v>49838</v>
      </c>
      <c r="J8" s="462">
        <f>SUM(J9:J17)</f>
        <v>6130</v>
      </c>
      <c r="K8" s="462">
        <f>SUM(K9:K17)</f>
        <v>55968</v>
      </c>
      <c r="L8" s="462">
        <f>SUM(L9:L17)</f>
        <v>-446</v>
      </c>
      <c r="M8" s="462">
        <f>SUM(M9:M17)</f>
        <v>55522</v>
      </c>
      <c r="N8" s="462">
        <f aca="true" t="shared" si="1" ref="N8:S8">SUM(N9:N17)</f>
        <v>0</v>
      </c>
      <c r="O8" s="462">
        <f t="shared" si="1"/>
        <v>0</v>
      </c>
      <c r="P8" s="462">
        <f t="shared" si="1"/>
        <v>0</v>
      </c>
      <c r="Q8" s="462">
        <f t="shared" si="1"/>
        <v>0</v>
      </c>
      <c r="R8" s="462">
        <f t="shared" si="1"/>
        <v>0</v>
      </c>
      <c r="S8" s="463">
        <f t="shared" si="1"/>
        <v>36019</v>
      </c>
    </row>
    <row r="9" spans="1:19" ht="12.75" customHeight="1">
      <c r="A9" s="465" t="s">
        <v>48</v>
      </c>
      <c r="B9" s="465"/>
      <c r="C9" s="465"/>
      <c r="D9" s="457" t="s">
        <v>519</v>
      </c>
      <c r="E9" s="458">
        <v>6820</v>
      </c>
      <c r="F9" s="458"/>
      <c r="G9" s="458">
        <f aca="true" t="shared" si="2" ref="G9:G14">E9+F9</f>
        <v>6820</v>
      </c>
      <c r="H9" s="458"/>
      <c r="I9" s="458">
        <f>G9+H9</f>
        <v>6820</v>
      </c>
      <c r="J9" s="458"/>
      <c r="K9" s="458">
        <f>I9+J9</f>
        <v>6820</v>
      </c>
      <c r="L9" s="458"/>
      <c r="M9" s="458">
        <f>K9+L9</f>
        <v>6820</v>
      </c>
      <c r="N9" s="459"/>
      <c r="O9" s="459"/>
      <c r="P9" s="459"/>
      <c r="Q9" s="459"/>
      <c r="R9" s="459"/>
      <c r="S9" s="697">
        <v>6718</v>
      </c>
    </row>
    <row r="10" spans="1:19" ht="12.75" customHeight="1">
      <c r="A10" s="465" t="s">
        <v>48</v>
      </c>
      <c r="B10" s="465"/>
      <c r="C10" s="465"/>
      <c r="D10" s="457" t="s">
        <v>94</v>
      </c>
      <c r="E10" s="458">
        <v>10000</v>
      </c>
      <c r="F10" s="458"/>
      <c r="G10" s="458">
        <f t="shared" si="2"/>
        <v>10000</v>
      </c>
      <c r="H10" s="458">
        <v>-229</v>
      </c>
      <c r="I10" s="458">
        <f aca="true" t="shared" si="3" ref="I10:I15">G10+H10</f>
        <v>9771</v>
      </c>
      <c r="J10" s="458">
        <f>-825-155</f>
        <v>-980</v>
      </c>
      <c r="K10" s="458">
        <f aca="true" t="shared" si="4" ref="K10:K17">I10+J10</f>
        <v>8791</v>
      </c>
      <c r="L10" s="458">
        <v>-446</v>
      </c>
      <c r="M10" s="458">
        <f aca="true" t="shared" si="5" ref="M10:M17">K10+L10</f>
        <v>8345</v>
      </c>
      <c r="N10" s="459"/>
      <c r="O10" s="459"/>
      <c r="P10" s="459"/>
      <c r="Q10" s="459"/>
      <c r="R10" s="459"/>
      <c r="S10" s="697">
        <v>5197</v>
      </c>
    </row>
    <row r="11" spans="1:19" ht="12.75" customHeight="1">
      <c r="A11" s="465" t="s">
        <v>118</v>
      </c>
      <c r="B11" s="465"/>
      <c r="C11" s="465"/>
      <c r="D11" s="457" t="s">
        <v>120</v>
      </c>
      <c r="E11" s="458">
        <v>7620</v>
      </c>
      <c r="F11" s="458"/>
      <c r="G11" s="458">
        <f t="shared" si="2"/>
        <v>7620</v>
      </c>
      <c r="H11" s="458"/>
      <c r="I11" s="458">
        <f t="shared" si="3"/>
        <v>7620</v>
      </c>
      <c r="J11" s="458"/>
      <c r="K11" s="458">
        <f t="shared" si="4"/>
        <v>7620</v>
      </c>
      <c r="L11" s="458"/>
      <c r="M11" s="458">
        <f t="shared" si="5"/>
        <v>7620</v>
      </c>
      <c r="N11" s="459"/>
      <c r="O11" s="459"/>
      <c r="P11" s="459"/>
      <c r="Q11" s="459"/>
      <c r="R11" s="459"/>
      <c r="S11" s="697">
        <v>0</v>
      </c>
    </row>
    <row r="12" spans="1:19" ht="12.75" customHeight="1">
      <c r="A12" s="465"/>
      <c r="B12" s="465"/>
      <c r="C12" s="465"/>
      <c r="D12" s="457" t="s">
        <v>676</v>
      </c>
      <c r="E12" s="458"/>
      <c r="F12" s="458">
        <v>15000</v>
      </c>
      <c r="G12" s="458">
        <f t="shared" si="2"/>
        <v>15000</v>
      </c>
      <c r="H12" s="458"/>
      <c r="I12" s="458">
        <f t="shared" si="3"/>
        <v>15000</v>
      </c>
      <c r="J12" s="458"/>
      <c r="K12" s="458">
        <f t="shared" si="4"/>
        <v>15000</v>
      </c>
      <c r="L12" s="458"/>
      <c r="M12" s="458">
        <f t="shared" si="5"/>
        <v>15000</v>
      </c>
      <c r="N12" s="459"/>
      <c r="O12" s="459"/>
      <c r="P12" s="459"/>
      <c r="Q12" s="459"/>
      <c r="R12" s="459"/>
      <c r="S12" s="697">
        <v>14992</v>
      </c>
    </row>
    <row r="13" spans="1:19" ht="12.75" customHeight="1">
      <c r="A13" s="465"/>
      <c r="B13" s="465"/>
      <c r="C13" s="465"/>
      <c r="D13" s="457" t="s">
        <v>677</v>
      </c>
      <c r="E13" s="458"/>
      <c r="F13" s="458">
        <v>5000</v>
      </c>
      <c r="G13" s="458">
        <f t="shared" si="2"/>
        <v>5000</v>
      </c>
      <c r="H13" s="458">
        <v>-498</v>
      </c>
      <c r="I13" s="458">
        <f t="shared" si="3"/>
        <v>4502</v>
      </c>
      <c r="J13" s="458"/>
      <c r="K13" s="458">
        <f t="shared" si="4"/>
        <v>4502</v>
      </c>
      <c r="L13" s="458"/>
      <c r="M13" s="458">
        <f t="shared" si="5"/>
        <v>4502</v>
      </c>
      <c r="N13" s="459"/>
      <c r="O13" s="459"/>
      <c r="P13" s="459"/>
      <c r="Q13" s="459"/>
      <c r="R13" s="459"/>
      <c r="S13" s="697">
        <v>4502</v>
      </c>
    </row>
    <row r="14" spans="1:19" ht="37.5" customHeight="1">
      <c r="A14" s="465"/>
      <c r="B14" s="465"/>
      <c r="C14" s="465"/>
      <c r="D14" s="457" t="s">
        <v>678</v>
      </c>
      <c r="E14" s="458"/>
      <c r="F14" s="458">
        <v>4625</v>
      </c>
      <c r="G14" s="458">
        <f t="shared" si="2"/>
        <v>4625</v>
      </c>
      <c r="H14" s="458"/>
      <c r="I14" s="458">
        <f t="shared" si="3"/>
        <v>4625</v>
      </c>
      <c r="J14" s="458"/>
      <c r="K14" s="458">
        <f t="shared" si="4"/>
        <v>4625</v>
      </c>
      <c r="L14" s="458"/>
      <c r="M14" s="458">
        <f t="shared" si="5"/>
        <v>4625</v>
      </c>
      <c r="N14" s="459"/>
      <c r="O14" s="459"/>
      <c r="P14" s="459"/>
      <c r="Q14" s="459"/>
      <c r="R14" s="459"/>
      <c r="S14" s="697">
        <v>0</v>
      </c>
    </row>
    <row r="15" spans="1:19" ht="11.25" customHeight="1">
      <c r="A15" s="465"/>
      <c r="B15" s="465"/>
      <c r="C15" s="465"/>
      <c r="D15" s="457" t="s">
        <v>764</v>
      </c>
      <c r="E15" s="458"/>
      <c r="F15" s="458"/>
      <c r="G15" s="458"/>
      <c r="H15" s="458">
        <v>1500</v>
      </c>
      <c r="I15" s="458">
        <f t="shared" si="3"/>
        <v>1500</v>
      </c>
      <c r="J15" s="458"/>
      <c r="K15" s="458">
        <f t="shared" si="4"/>
        <v>1500</v>
      </c>
      <c r="L15" s="458"/>
      <c r="M15" s="458">
        <f t="shared" si="5"/>
        <v>1500</v>
      </c>
      <c r="N15" s="459"/>
      <c r="O15" s="459"/>
      <c r="P15" s="459"/>
      <c r="Q15" s="459"/>
      <c r="R15" s="459"/>
      <c r="S15" s="697">
        <v>0</v>
      </c>
    </row>
    <row r="16" spans="1:19" ht="12.75" customHeight="1">
      <c r="A16" s="444"/>
      <c r="B16" s="444"/>
      <c r="C16" s="444"/>
      <c r="D16" s="457" t="s">
        <v>809</v>
      </c>
      <c r="E16" s="458"/>
      <c r="F16" s="458"/>
      <c r="G16" s="458"/>
      <c r="H16" s="458"/>
      <c r="I16" s="458"/>
      <c r="J16" s="458">
        <v>2500</v>
      </c>
      <c r="K16" s="458">
        <f t="shared" si="4"/>
        <v>2500</v>
      </c>
      <c r="L16" s="458"/>
      <c r="M16" s="458">
        <f t="shared" si="5"/>
        <v>2500</v>
      </c>
      <c r="N16" s="459"/>
      <c r="O16" s="459"/>
      <c r="P16" s="459"/>
      <c r="Q16" s="459"/>
      <c r="R16" s="459"/>
      <c r="S16" s="697">
        <v>0</v>
      </c>
    </row>
    <row r="17" spans="1:19" ht="12.75" customHeight="1">
      <c r="A17" s="444"/>
      <c r="B17" s="444"/>
      <c r="C17" s="444"/>
      <c r="D17" s="457" t="s">
        <v>810</v>
      </c>
      <c r="E17" s="458"/>
      <c r="F17" s="458"/>
      <c r="G17" s="458"/>
      <c r="H17" s="458"/>
      <c r="I17" s="458"/>
      <c r="J17" s="458">
        <f>4191+419</f>
        <v>4610</v>
      </c>
      <c r="K17" s="458">
        <f t="shared" si="4"/>
        <v>4610</v>
      </c>
      <c r="L17" s="458"/>
      <c r="M17" s="458">
        <f t="shared" si="5"/>
        <v>4610</v>
      </c>
      <c r="N17" s="459"/>
      <c r="O17" s="459"/>
      <c r="P17" s="459"/>
      <c r="Q17" s="459"/>
      <c r="R17" s="459"/>
      <c r="S17" s="697">
        <v>4610</v>
      </c>
    </row>
    <row r="18" spans="1:19" ht="12.75" customHeight="1">
      <c r="A18" s="465" t="s">
        <v>17</v>
      </c>
      <c r="B18" s="465"/>
      <c r="C18" s="465"/>
      <c r="D18" s="457"/>
      <c r="E18" s="458"/>
      <c r="F18" s="458"/>
      <c r="G18" s="458"/>
      <c r="H18" s="458"/>
      <c r="I18" s="458"/>
      <c r="J18" s="458"/>
      <c r="K18" s="458"/>
      <c r="L18" s="458"/>
      <c r="M18" s="460"/>
      <c r="N18" s="459"/>
      <c r="O18" s="459"/>
      <c r="P18" s="459"/>
      <c r="Q18" s="459"/>
      <c r="R18" s="459"/>
      <c r="S18" s="697"/>
    </row>
    <row r="19" spans="1:19" ht="12.75" customHeight="1">
      <c r="A19" s="465" t="s">
        <v>48</v>
      </c>
      <c r="B19" s="465"/>
      <c r="C19" s="465"/>
      <c r="D19" s="461" t="s">
        <v>47</v>
      </c>
      <c r="E19" s="462">
        <f aca="true" t="shared" si="6" ref="E19:S19">SUM(E20:E64)</f>
        <v>209823</v>
      </c>
      <c r="F19" s="462">
        <f t="shared" si="6"/>
        <v>-18989</v>
      </c>
      <c r="G19" s="462">
        <f t="shared" si="6"/>
        <v>190834</v>
      </c>
      <c r="H19" s="462">
        <f t="shared" si="6"/>
        <v>-12960</v>
      </c>
      <c r="I19" s="462">
        <f t="shared" si="6"/>
        <v>177874</v>
      </c>
      <c r="J19" s="462">
        <f t="shared" si="6"/>
        <v>-8919</v>
      </c>
      <c r="K19" s="462">
        <f t="shared" si="6"/>
        <v>168955</v>
      </c>
      <c r="L19" s="462">
        <f t="shared" si="6"/>
        <v>-51907</v>
      </c>
      <c r="M19" s="462">
        <f t="shared" si="6"/>
        <v>117048</v>
      </c>
      <c r="N19" s="462">
        <f t="shared" si="6"/>
        <v>-7399</v>
      </c>
      <c r="O19" s="462">
        <f t="shared" si="6"/>
        <v>-3359</v>
      </c>
      <c r="P19" s="462">
        <f t="shared" si="6"/>
        <v>-1656</v>
      </c>
      <c r="Q19" s="462">
        <f t="shared" si="6"/>
        <v>-241</v>
      </c>
      <c r="R19" s="462">
        <f t="shared" si="6"/>
        <v>-673</v>
      </c>
      <c r="S19" s="463">
        <f t="shared" si="6"/>
        <v>99708</v>
      </c>
    </row>
    <row r="20" spans="1:19" ht="12.75" customHeight="1">
      <c r="A20" s="465" t="s">
        <v>48</v>
      </c>
      <c r="B20" s="465"/>
      <c r="C20" s="465"/>
      <c r="D20" s="457" t="s">
        <v>78</v>
      </c>
      <c r="E20" s="458">
        <v>1016</v>
      </c>
      <c r="F20" s="458"/>
      <c r="G20" s="458">
        <f>E20+F20</f>
        <v>1016</v>
      </c>
      <c r="H20" s="458"/>
      <c r="I20" s="458">
        <f>G20+H20</f>
        <v>1016</v>
      </c>
      <c r="J20" s="458"/>
      <c r="K20" s="458">
        <f>I20+J20</f>
        <v>1016</v>
      </c>
      <c r="L20" s="458">
        <v>-692</v>
      </c>
      <c r="M20" s="458">
        <f>K20+L20</f>
        <v>324</v>
      </c>
      <c r="N20" s="459"/>
      <c r="O20" s="459"/>
      <c r="P20" s="459"/>
      <c r="Q20" s="459"/>
      <c r="R20" s="459"/>
      <c r="S20" s="697">
        <v>0</v>
      </c>
    </row>
    <row r="21" spans="1:19" ht="12.75" customHeight="1">
      <c r="A21" s="465" t="s">
        <v>48</v>
      </c>
      <c r="B21" s="465"/>
      <c r="C21" s="465"/>
      <c r="D21" s="457" t="s">
        <v>520</v>
      </c>
      <c r="E21" s="458">
        <v>6300</v>
      </c>
      <c r="F21" s="458"/>
      <c r="G21" s="458">
        <f aca="true" t="shared" si="7" ref="G21:G56">E21+F21</f>
        <v>6300</v>
      </c>
      <c r="H21" s="458"/>
      <c r="I21" s="458">
        <f aca="true" t="shared" si="8" ref="I21:I58">G21+H21</f>
        <v>6300</v>
      </c>
      <c r="J21" s="458"/>
      <c r="K21" s="458">
        <f aca="true" t="shared" si="9" ref="K21:K59">I21+J21</f>
        <v>6300</v>
      </c>
      <c r="L21" s="458"/>
      <c r="M21" s="458">
        <f aca="true" t="shared" si="10" ref="M21:M62">K21+L21</f>
        <v>6300</v>
      </c>
      <c r="N21" s="459"/>
      <c r="O21" s="459"/>
      <c r="P21" s="459"/>
      <c r="Q21" s="459"/>
      <c r="R21" s="459"/>
      <c r="S21" s="697">
        <v>6298</v>
      </c>
    </row>
    <row r="22" spans="1:19" ht="12.75" customHeight="1">
      <c r="A22" s="465" t="s">
        <v>48</v>
      </c>
      <c r="B22" s="465"/>
      <c r="C22" s="465"/>
      <c r="D22" s="457" t="s">
        <v>80</v>
      </c>
      <c r="E22" s="458">
        <v>4953</v>
      </c>
      <c r="F22" s="458"/>
      <c r="G22" s="458">
        <f t="shared" si="7"/>
        <v>4953</v>
      </c>
      <c r="H22" s="458">
        <v>913</v>
      </c>
      <c r="I22" s="458">
        <f t="shared" si="8"/>
        <v>5866</v>
      </c>
      <c r="J22" s="458"/>
      <c r="K22" s="458">
        <f t="shared" si="9"/>
        <v>5866</v>
      </c>
      <c r="L22" s="458"/>
      <c r="M22" s="458">
        <f t="shared" si="10"/>
        <v>5866</v>
      </c>
      <c r="N22" s="459"/>
      <c r="O22" s="459"/>
      <c r="P22" s="459"/>
      <c r="Q22" s="459"/>
      <c r="R22" s="459"/>
      <c r="S22" s="697">
        <v>5866</v>
      </c>
    </row>
    <row r="23" spans="1:19" ht="12.75" customHeight="1">
      <c r="A23" s="465" t="s">
        <v>48</v>
      </c>
      <c r="B23" s="465"/>
      <c r="C23" s="465"/>
      <c r="D23" s="457" t="s">
        <v>532</v>
      </c>
      <c r="E23" s="458">
        <v>16000</v>
      </c>
      <c r="F23" s="458"/>
      <c r="G23" s="458">
        <f t="shared" si="7"/>
        <v>16000</v>
      </c>
      <c r="H23" s="458">
        <f>-2195-1397</f>
        <v>-3592</v>
      </c>
      <c r="I23" s="458">
        <f t="shared" si="8"/>
        <v>12408</v>
      </c>
      <c r="J23" s="458"/>
      <c r="K23" s="458">
        <f t="shared" si="9"/>
        <v>12408</v>
      </c>
      <c r="L23" s="458">
        <f>-1645-1849-1656-673-241</f>
        <v>-6064</v>
      </c>
      <c r="M23" s="458">
        <f t="shared" si="10"/>
        <v>6344</v>
      </c>
      <c r="N23" s="459">
        <v>-1645</v>
      </c>
      <c r="O23" s="459">
        <v>-1849</v>
      </c>
      <c r="P23" s="459">
        <v>-1656</v>
      </c>
      <c r="Q23" s="459">
        <v>-241</v>
      </c>
      <c r="R23" s="459">
        <v>-673</v>
      </c>
      <c r="S23" s="697">
        <v>6172</v>
      </c>
    </row>
    <row r="24" spans="1:19" ht="12.75" customHeight="1">
      <c r="A24" s="465" t="s">
        <v>48</v>
      </c>
      <c r="B24" s="465"/>
      <c r="C24" s="465"/>
      <c r="D24" s="457" t="s">
        <v>86</v>
      </c>
      <c r="E24" s="458">
        <v>6350</v>
      </c>
      <c r="F24" s="458"/>
      <c r="G24" s="458">
        <f t="shared" si="7"/>
        <v>6350</v>
      </c>
      <c r="H24" s="458">
        <v>-96</v>
      </c>
      <c r="I24" s="458">
        <f t="shared" si="8"/>
        <v>6254</v>
      </c>
      <c r="J24" s="458"/>
      <c r="K24" s="458">
        <f t="shared" si="9"/>
        <v>6254</v>
      </c>
      <c r="L24" s="458">
        <v>1656</v>
      </c>
      <c r="M24" s="458">
        <f t="shared" si="10"/>
        <v>7910</v>
      </c>
      <c r="N24" s="459"/>
      <c r="O24" s="459"/>
      <c r="P24" s="459"/>
      <c r="Q24" s="459"/>
      <c r="R24" s="459"/>
      <c r="S24" s="697">
        <v>7910</v>
      </c>
    </row>
    <row r="25" spans="1:19" ht="12.75" customHeight="1">
      <c r="A25" s="465" t="s">
        <v>48</v>
      </c>
      <c r="B25" s="465"/>
      <c r="C25" s="465"/>
      <c r="D25" s="457" t="s">
        <v>92</v>
      </c>
      <c r="E25" s="458">
        <v>5000</v>
      </c>
      <c r="F25" s="458">
        <v>-675</v>
      </c>
      <c r="G25" s="458">
        <f t="shared" si="7"/>
        <v>4325</v>
      </c>
      <c r="H25" s="458">
        <f>-1500-24</f>
        <v>-1524</v>
      </c>
      <c r="I25" s="458">
        <f t="shared" si="8"/>
        <v>2801</v>
      </c>
      <c r="J25" s="458"/>
      <c r="K25" s="458">
        <f t="shared" si="9"/>
        <v>2801</v>
      </c>
      <c r="L25" s="458"/>
      <c r="M25" s="458">
        <f t="shared" si="10"/>
        <v>2801</v>
      </c>
      <c r="N25" s="459"/>
      <c r="O25" s="459"/>
      <c r="P25" s="459"/>
      <c r="Q25" s="459"/>
      <c r="R25" s="459"/>
      <c r="S25" s="697">
        <v>2468</v>
      </c>
    </row>
    <row r="26" spans="1:19" ht="12.75" customHeight="1">
      <c r="A26" s="465" t="s">
        <v>48</v>
      </c>
      <c r="B26" s="465"/>
      <c r="C26" s="465"/>
      <c r="D26" s="457" t="s">
        <v>93</v>
      </c>
      <c r="E26" s="458">
        <v>10000</v>
      </c>
      <c r="F26" s="458"/>
      <c r="G26" s="458">
        <f t="shared" si="7"/>
        <v>10000</v>
      </c>
      <c r="H26" s="458"/>
      <c r="I26" s="458">
        <f t="shared" si="8"/>
        <v>10000</v>
      </c>
      <c r="J26" s="458"/>
      <c r="K26" s="458">
        <f t="shared" si="9"/>
        <v>10000</v>
      </c>
      <c r="L26" s="458">
        <v>-10000</v>
      </c>
      <c r="M26" s="458">
        <f t="shared" si="10"/>
        <v>0</v>
      </c>
      <c r="N26" s="459"/>
      <c r="O26" s="459"/>
      <c r="P26" s="459"/>
      <c r="Q26" s="459"/>
      <c r="R26" s="459"/>
      <c r="S26" s="697">
        <v>0</v>
      </c>
    </row>
    <row r="27" spans="1:19" ht="12.75" customHeight="1">
      <c r="A27" s="465" t="s">
        <v>48</v>
      </c>
      <c r="B27" s="465"/>
      <c r="C27" s="465"/>
      <c r="D27" s="457" t="s">
        <v>95</v>
      </c>
      <c r="E27" s="458">
        <v>5000</v>
      </c>
      <c r="F27" s="458">
        <v>-5000</v>
      </c>
      <c r="G27" s="458">
        <f t="shared" si="7"/>
        <v>0</v>
      </c>
      <c r="H27" s="458"/>
      <c r="I27" s="458">
        <f t="shared" si="8"/>
        <v>0</v>
      </c>
      <c r="J27" s="458"/>
      <c r="K27" s="458">
        <f t="shared" si="9"/>
        <v>0</v>
      </c>
      <c r="L27" s="458"/>
      <c r="M27" s="458">
        <f t="shared" si="10"/>
        <v>0</v>
      </c>
      <c r="N27" s="459"/>
      <c r="O27" s="459"/>
      <c r="P27" s="459"/>
      <c r="Q27" s="459"/>
      <c r="R27" s="459"/>
      <c r="S27" s="697">
        <v>0</v>
      </c>
    </row>
    <row r="28" spans="1:19" ht="12.75" customHeight="1">
      <c r="A28" s="465" t="s">
        <v>48</v>
      </c>
      <c r="B28" s="465"/>
      <c r="C28" s="465"/>
      <c r="D28" s="457" t="s">
        <v>528</v>
      </c>
      <c r="E28" s="458">
        <v>850</v>
      </c>
      <c r="F28" s="458"/>
      <c r="G28" s="458">
        <f t="shared" si="7"/>
        <v>850</v>
      </c>
      <c r="H28" s="458"/>
      <c r="I28" s="458">
        <f t="shared" si="8"/>
        <v>850</v>
      </c>
      <c r="J28" s="458"/>
      <c r="K28" s="458">
        <f t="shared" si="9"/>
        <v>850</v>
      </c>
      <c r="L28" s="458"/>
      <c r="M28" s="458">
        <f t="shared" si="10"/>
        <v>850</v>
      </c>
      <c r="N28" s="459"/>
      <c r="O28" s="459"/>
      <c r="P28" s="459"/>
      <c r="Q28" s="459"/>
      <c r="R28" s="459"/>
      <c r="S28" s="697">
        <v>0</v>
      </c>
    </row>
    <row r="29" spans="1:19" ht="12.75" customHeight="1">
      <c r="A29" s="465" t="s">
        <v>56</v>
      </c>
      <c r="B29" s="465"/>
      <c r="C29" s="465"/>
      <c r="D29" s="457" t="s">
        <v>96</v>
      </c>
      <c r="E29" s="458">
        <v>421</v>
      </c>
      <c r="F29" s="458"/>
      <c r="G29" s="458">
        <f t="shared" si="7"/>
        <v>421</v>
      </c>
      <c r="H29" s="458"/>
      <c r="I29" s="458">
        <f t="shared" si="8"/>
        <v>421</v>
      </c>
      <c r="J29" s="458"/>
      <c r="K29" s="458">
        <f t="shared" si="9"/>
        <v>421</v>
      </c>
      <c r="L29" s="458"/>
      <c r="M29" s="458">
        <f t="shared" si="10"/>
        <v>421</v>
      </c>
      <c r="N29" s="459"/>
      <c r="O29" s="459"/>
      <c r="P29" s="459"/>
      <c r="Q29" s="459"/>
      <c r="R29" s="459"/>
      <c r="S29" s="697">
        <v>420</v>
      </c>
    </row>
    <row r="30" spans="1:19" ht="12.75" customHeight="1">
      <c r="A30" s="465" t="s">
        <v>56</v>
      </c>
      <c r="B30" s="465"/>
      <c r="C30" s="465"/>
      <c r="D30" s="457" t="s">
        <v>88</v>
      </c>
      <c r="E30" s="458">
        <v>10000</v>
      </c>
      <c r="F30" s="458">
        <v>-5000</v>
      </c>
      <c r="G30" s="458">
        <f t="shared" si="7"/>
        <v>5000</v>
      </c>
      <c r="H30" s="458">
        <f>-197-913-2703</f>
        <v>-3813</v>
      </c>
      <c r="I30" s="458">
        <f t="shared" si="8"/>
        <v>1187</v>
      </c>
      <c r="J30" s="458"/>
      <c r="K30" s="458">
        <f t="shared" si="9"/>
        <v>1187</v>
      </c>
      <c r="L30" s="458"/>
      <c r="M30" s="458">
        <f t="shared" si="10"/>
        <v>1187</v>
      </c>
      <c r="N30" s="459"/>
      <c r="O30" s="459"/>
      <c r="P30" s="459"/>
      <c r="Q30" s="459"/>
      <c r="R30" s="459"/>
      <c r="S30" s="697">
        <v>985</v>
      </c>
    </row>
    <row r="31" spans="1:19" ht="26.25" customHeight="1">
      <c r="A31" s="465" t="s">
        <v>56</v>
      </c>
      <c r="B31" s="465"/>
      <c r="C31" s="465"/>
      <c r="D31" s="457" t="s">
        <v>521</v>
      </c>
      <c r="E31" s="458">
        <v>10000</v>
      </c>
      <c r="F31" s="458"/>
      <c r="G31" s="458">
        <f t="shared" si="7"/>
        <v>10000</v>
      </c>
      <c r="H31" s="458"/>
      <c r="I31" s="458">
        <f t="shared" si="8"/>
        <v>10000</v>
      </c>
      <c r="J31" s="458">
        <v>-9600</v>
      </c>
      <c r="K31" s="458">
        <f t="shared" si="9"/>
        <v>400</v>
      </c>
      <c r="L31" s="458"/>
      <c r="M31" s="458">
        <f t="shared" si="10"/>
        <v>400</v>
      </c>
      <c r="N31" s="459"/>
      <c r="O31" s="459"/>
      <c r="P31" s="459"/>
      <c r="Q31" s="459"/>
      <c r="R31" s="459"/>
      <c r="S31" s="697">
        <v>400</v>
      </c>
    </row>
    <row r="32" spans="1:19" ht="12.75" customHeight="1">
      <c r="A32" s="465" t="s">
        <v>56</v>
      </c>
      <c r="B32" s="465"/>
      <c r="C32" s="465"/>
      <c r="D32" s="457" t="s">
        <v>108</v>
      </c>
      <c r="E32" s="458"/>
      <c r="F32" s="458"/>
      <c r="G32" s="458">
        <f t="shared" si="7"/>
        <v>0</v>
      </c>
      <c r="H32" s="458"/>
      <c r="I32" s="458">
        <f t="shared" si="8"/>
        <v>0</v>
      </c>
      <c r="J32" s="458"/>
      <c r="K32" s="458">
        <f t="shared" si="9"/>
        <v>0</v>
      </c>
      <c r="L32" s="458"/>
      <c r="M32" s="458"/>
      <c r="N32" s="459"/>
      <c r="O32" s="459"/>
      <c r="P32" s="459"/>
      <c r="Q32" s="459"/>
      <c r="R32" s="459"/>
      <c r="S32" s="697"/>
    </row>
    <row r="33" spans="1:19" ht="12.75" customHeight="1">
      <c r="A33" s="465" t="s">
        <v>56</v>
      </c>
      <c r="B33" s="465"/>
      <c r="C33" s="465"/>
      <c r="D33" s="457" t="s">
        <v>514</v>
      </c>
      <c r="E33" s="458">
        <v>9000</v>
      </c>
      <c r="F33" s="458"/>
      <c r="G33" s="458">
        <f t="shared" si="7"/>
        <v>9000</v>
      </c>
      <c r="H33" s="458"/>
      <c r="I33" s="458">
        <f t="shared" si="8"/>
        <v>9000</v>
      </c>
      <c r="J33" s="458"/>
      <c r="K33" s="458">
        <f t="shared" si="9"/>
        <v>9000</v>
      </c>
      <c r="L33" s="458">
        <f>-1004-288</f>
        <v>-1292</v>
      </c>
      <c r="M33" s="458">
        <f t="shared" si="10"/>
        <v>7708</v>
      </c>
      <c r="N33" s="459">
        <v>-1004</v>
      </c>
      <c r="O33" s="459">
        <v>-288</v>
      </c>
      <c r="P33" s="459"/>
      <c r="Q33" s="459"/>
      <c r="R33" s="459"/>
      <c r="S33" s="697">
        <v>7708</v>
      </c>
    </row>
    <row r="34" spans="1:19" ht="12.75" customHeight="1">
      <c r="A34" s="465" t="s">
        <v>56</v>
      </c>
      <c r="B34" s="465"/>
      <c r="C34" s="465"/>
      <c r="D34" s="457" t="s">
        <v>109</v>
      </c>
      <c r="E34" s="458">
        <v>6350</v>
      </c>
      <c r="F34" s="458"/>
      <c r="G34" s="458">
        <f t="shared" si="7"/>
        <v>6350</v>
      </c>
      <c r="H34" s="458"/>
      <c r="I34" s="458">
        <f t="shared" si="8"/>
        <v>6350</v>
      </c>
      <c r="J34" s="458"/>
      <c r="K34" s="458">
        <f t="shared" si="9"/>
        <v>6350</v>
      </c>
      <c r="L34" s="458">
        <v>-6350</v>
      </c>
      <c r="M34" s="458">
        <f t="shared" si="10"/>
        <v>0</v>
      </c>
      <c r="N34" s="459"/>
      <c r="O34" s="459"/>
      <c r="P34" s="459"/>
      <c r="Q34" s="459"/>
      <c r="R34" s="459"/>
      <c r="S34" s="697">
        <v>0</v>
      </c>
    </row>
    <row r="35" spans="1:19" ht="12.75" customHeight="1">
      <c r="A35" s="465" t="s">
        <v>56</v>
      </c>
      <c r="B35" s="465"/>
      <c r="C35" s="465"/>
      <c r="D35" s="457" t="s">
        <v>110</v>
      </c>
      <c r="E35" s="458"/>
      <c r="F35" s="458"/>
      <c r="G35" s="458">
        <f t="shared" si="7"/>
        <v>0</v>
      </c>
      <c r="H35" s="458"/>
      <c r="I35" s="458">
        <f t="shared" si="8"/>
        <v>0</v>
      </c>
      <c r="J35" s="458"/>
      <c r="K35" s="458">
        <f t="shared" si="9"/>
        <v>0</v>
      </c>
      <c r="L35" s="458"/>
      <c r="M35" s="458"/>
      <c r="N35" s="459"/>
      <c r="O35" s="459"/>
      <c r="P35" s="459"/>
      <c r="Q35" s="459"/>
      <c r="R35" s="459"/>
      <c r="S35" s="697"/>
    </row>
    <row r="36" spans="1:19" ht="12.75" customHeight="1">
      <c r="A36" s="465" t="s">
        <v>56</v>
      </c>
      <c r="B36" s="465"/>
      <c r="C36" s="465"/>
      <c r="D36" s="457" t="s">
        <v>87</v>
      </c>
      <c r="E36" s="458">
        <v>17969</v>
      </c>
      <c r="F36" s="458"/>
      <c r="G36" s="458">
        <f t="shared" si="7"/>
        <v>17969</v>
      </c>
      <c r="H36" s="458"/>
      <c r="I36" s="458">
        <f t="shared" si="8"/>
        <v>17969</v>
      </c>
      <c r="J36" s="458"/>
      <c r="K36" s="458">
        <f t="shared" si="9"/>
        <v>17969</v>
      </c>
      <c r="L36" s="458">
        <v>-17969</v>
      </c>
      <c r="M36" s="458">
        <f t="shared" si="10"/>
        <v>0</v>
      </c>
      <c r="N36" s="459"/>
      <c r="O36" s="459"/>
      <c r="P36" s="459"/>
      <c r="Q36" s="459"/>
      <c r="R36" s="459"/>
      <c r="S36" s="697">
        <v>0</v>
      </c>
    </row>
    <row r="37" spans="1:19" ht="12.75" customHeight="1">
      <c r="A37" s="465" t="s">
        <v>56</v>
      </c>
      <c r="B37" s="465"/>
      <c r="C37" s="465"/>
      <c r="D37" s="457" t="s">
        <v>111</v>
      </c>
      <c r="E37" s="458">
        <v>1000</v>
      </c>
      <c r="F37" s="458"/>
      <c r="G37" s="458">
        <f t="shared" si="7"/>
        <v>1000</v>
      </c>
      <c r="H37" s="458"/>
      <c r="I37" s="458">
        <f t="shared" si="8"/>
        <v>1000</v>
      </c>
      <c r="J37" s="458">
        <v>-1000</v>
      </c>
      <c r="K37" s="458">
        <f t="shared" si="9"/>
        <v>0</v>
      </c>
      <c r="L37" s="458"/>
      <c r="M37" s="458">
        <f t="shared" si="10"/>
        <v>0</v>
      </c>
      <c r="N37" s="459"/>
      <c r="O37" s="459"/>
      <c r="P37" s="459"/>
      <c r="Q37" s="459"/>
      <c r="R37" s="459"/>
      <c r="S37" s="697">
        <v>0</v>
      </c>
    </row>
    <row r="38" spans="1:19" ht="12.75" customHeight="1">
      <c r="A38" s="465" t="s">
        <v>56</v>
      </c>
      <c r="B38" s="465"/>
      <c r="C38" s="465"/>
      <c r="D38" s="457" t="s">
        <v>112</v>
      </c>
      <c r="E38" s="458">
        <v>6350</v>
      </c>
      <c r="F38" s="458"/>
      <c r="G38" s="458">
        <f t="shared" si="7"/>
        <v>6350</v>
      </c>
      <c r="H38" s="458"/>
      <c r="I38" s="458">
        <f t="shared" si="8"/>
        <v>6350</v>
      </c>
      <c r="J38" s="458"/>
      <c r="K38" s="458">
        <f t="shared" si="9"/>
        <v>6350</v>
      </c>
      <c r="L38" s="458"/>
      <c r="M38" s="458">
        <f t="shared" si="10"/>
        <v>6350</v>
      </c>
      <c r="N38" s="459"/>
      <c r="O38" s="459"/>
      <c r="P38" s="459"/>
      <c r="Q38" s="459"/>
      <c r="R38" s="459"/>
      <c r="S38" s="697">
        <v>0</v>
      </c>
    </row>
    <row r="39" spans="1:19" ht="24" customHeight="1">
      <c r="A39" s="465" t="s">
        <v>114</v>
      </c>
      <c r="B39" s="465"/>
      <c r="C39" s="465"/>
      <c r="D39" s="457" t="s">
        <v>522</v>
      </c>
      <c r="E39" s="458">
        <v>3810</v>
      </c>
      <c r="F39" s="458"/>
      <c r="G39" s="458">
        <f t="shared" si="7"/>
        <v>3810</v>
      </c>
      <c r="H39" s="458"/>
      <c r="I39" s="458">
        <f t="shared" si="8"/>
        <v>3810</v>
      </c>
      <c r="J39" s="458"/>
      <c r="K39" s="458">
        <f t="shared" si="9"/>
        <v>3810</v>
      </c>
      <c r="L39" s="458">
        <v>-1000</v>
      </c>
      <c r="M39" s="458">
        <f t="shared" si="10"/>
        <v>2810</v>
      </c>
      <c r="N39" s="459"/>
      <c r="O39" s="459"/>
      <c r="P39" s="459"/>
      <c r="Q39" s="459"/>
      <c r="R39" s="459"/>
      <c r="S39" s="697">
        <v>1422</v>
      </c>
    </row>
    <row r="40" spans="1:19" ht="26.25" customHeight="1">
      <c r="A40" s="465" t="s">
        <v>114</v>
      </c>
      <c r="B40" s="465"/>
      <c r="C40" s="465"/>
      <c r="D40" s="457" t="s">
        <v>113</v>
      </c>
      <c r="E40" s="458">
        <v>8890</v>
      </c>
      <c r="F40" s="458"/>
      <c r="G40" s="458">
        <f t="shared" si="7"/>
        <v>8890</v>
      </c>
      <c r="H40" s="458"/>
      <c r="I40" s="458">
        <f t="shared" si="8"/>
        <v>8890</v>
      </c>
      <c r="J40" s="458"/>
      <c r="K40" s="458">
        <f t="shared" si="9"/>
        <v>8890</v>
      </c>
      <c r="L40" s="458">
        <f>-4991-1500</f>
        <v>-6491</v>
      </c>
      <c r="M40" s="458">
        <f t="shared" si="10"/>
        <v>2399</v>
      </c>
      <c r="N40" s="459">
        <v>-4991</v>
      </c>
      <c r="O40" s="459">
        <v>-1500</v>
      </c>
      <c r="P40" s="459"/>
      <c r="Q40" s="459"/>
      <c r="R40" s="459"/>
      <c r="S40" s="697">
        <v>0</v>
      </c>
    </row>
    <row r="41" spans="1:19" ht="12.75" customHeight="1">
      <c r="A41" s="465" t="s">
        <v>67</v>
      </c>
      <c r="B41" s="465"/>
      <c r="C41" s="465"/>
      <c r="D41" s="457" t="s">
        <v>523</v>
      </c>
      <c r="E41" s="458">
        <v>17145</v>
      </c>
      <c r="F41" s="458">
        <v>6346</v>
      </c>
      <c r="G41" s="458">
        <f t="shared" si="7"/>
        <v>23491</v>
      </c>
      <c r="H41" s="458"/>
      <c r="I41" s="458">
        <f t="shared" si="8"/>
        <v>23491</v>
      </c>
      <c r="J41" s="458"/>
      <c r="K41" s="458">
        <f t="shared" si="9"/>
        <v>23491</v>
      </c>
      <c r="L41" s="458"/>
      <c r="M41" s="458">
        <f t="shared" si="10"/>
        <v>23491</v>
      </c>
      <c r="N41" s="459"/>
      <c r="O41" s="459"/>
      <c r="P41" s="459"/>
      <c r="Q41" s="459"/>
      <c r="R41" s="459"/>
      <c r="S41" s="697">
        <v>23491</v>
      </c>
    </row>
    <row r="42" spans="1:19" ht="12.75" customHeight="1">
      <c r="A42" s="465" t="s">
        <v>67</v>
      </c>
      <c r="B42" s="465"/>
      <c r="C42" s="465"/>
      <c r="D42" s="457" t="s">
        <v>115</v>
      </c>
      <c r="E42" s="458">
        <v>9500</v>
      </c>
      <c r="F42" s="458">
        <v>-6346</v>
      </c>
      <c r="G42" s="458">
        <f t="shared" si="7"/>
        <v>3154</v>
      </c>
      <c r="H42" s="458">
        <v>-3000</v>
      </c>
      <c r="I42" s="458">
        <f t="shared" si="8"/>
        <v>154</v>
      </c>
      <c r="J42" s="458"/>
      <c r="K42" s="458">
        <f t="shared" si="9"/>
        <v>154</v>
      </c>
      <c r="L42" s="458"/>
      <c r="M42" s="458">
        <f t="shared" si="10"/>
        <v>154</v>
      </c>
      <c r="N42" s="459"/>
      <c r="O42" s="459"/>
      <c r="P42" s="459"/>
      <c r="Q42" s="459"/>
      <c r="R42" s="459"/>
      <c r="S42" s="697">
        <v>0</v>
      </c>
    </row>
    <row r="43" spans="1:19" ht="12.75" customHeight="1">
      <c r="A43" s="465" t="s">
        <v>118</v>
      </c>
      <c r="B43" s="465"/>
      <c r="C43" s="465"/>
      <c r="D43" s="457" t="s">
        <v>116</v>
      </c>
      <c r="E43" s="458">
        <v>1219</v>
      </c>
      <c r="F43" s="458"/>
      <c r="G43" s="458">
        <f t="shared" si="7"/>
        <v>1219</v>
      </c>
      <c r="H43" s="458"/>
      <c r="I43" s="458">
        <f t="shared" si="8"/>
        <v>1219</v>
      </c>
      <c r="J43" s="458"/>
      <c r="K43" s="458">
        <f t="shared" si="9"/>
        <v>1219</v>
      </c>
      <c r="L43" s="458"/>
      <c r="M43" s="458">
        <f t="shared" si="10"/>
        <v>1219</v>
      </c>
      <c r="N43" s="459"/>
      <c r="O43" s="459"/>
      <c r="P43" s="459"/>
      <c r="Q43" s="459"/>
      <c r="R43" s="459"/>
      <c r="S43" s="697">
        <v>0</v>
      </c>
    </row>
    <row r="44" spans="1:19" ht="12.75" customHeight="1">
      <c r="A44" s="465" t="s">
        <v>118</v>
      </c>
      <c r="B44" s="465"/>
      <c r="C44" s="465"/>
      <c r="D44" s="457" t="s">
        <v>117</v>
      </c>
      <c r="E44" s="458">
        <v>5080</v>
      </c>
      <c r="F44" s="458"/>
      <c r="G44" s="458">
        <f t="shared" si="7"/>
        <v>5080</v>
      </c>
      <c r="H44" s="458">
        <v>-2000</v>
      </c>
      <c r="I44" s="458">
        <f t="shared" si="8"/>
        <v>3080</v>
      </c>
      <c r="J44" s="458"/>
      <c r="K44" s="458">
        <f t="shared" si="9"/>
        <v>3080</v>
      </c>
      <c r="L44" s="458">
        <v>-2000</v>
      </c>
      <c r="M44" s="458">
        <f t="shared" si="10"/>
        <v>1080</v>
      </c>
      <c r="N44" s="459"/>
      <c r="O44" s="459"/>
      <c r="P44" s="459"/>
      <c r="Q44" s="459"/>
      <c r="R44" s="459"/>
      <c r="S44" s="697">
        <v>490</v>
      </c>
    </row>
    <row r="45" spans="1:19" ht="12.75" customHeight="1">
      <c r="A45" s="465" t="s">
        <v>147</v>
      </c>
      <c r="B45" s="465"/>
      <c r="C45" s="465"/>
      <c r="D45" s="457" t="s">
        <v>119</v>
      </c>
      <c r="E45" s="458">
        <v>1905</v>
      </c>
      <c r="F45" s="458"/>
      <c r="G45" s="458">
        <f t="shared" si="7"/>
        <v>1905</v>
      </c>
      <c r="H45" s="458"/>
      <c r="I45" s="458">
        <f t="shared" si="8"/>
        <v>1905</v>
      </c>
      <c r="J45" s="458"/>
      <c r="K45" s="458">
        <f t="shared" si="9"/>
        <v>1905</v>
      </c>
      <c r="L45" s="458"/>
      <c r="M45" s="458">
        <f t="shared" si="10"/>
        <v>1905</v>
      </c>
      <c r="N45" s="459"/>
      <c r="O45" s="459"/>
      <c r="P45" s="459"/>
      <c r="Q45" s="459"/>
      <c r="R45" s="459"/>
      <c r="S45" s="697">
        <v>0</v>
      </c>
    </row>
    <row r="46" spans="1:19" ht="51.75" customHeight="1">
      <c r="A46" s="465" t="s">
        <v>48</v>
      </c>
      <c r="B46" s="465"/>
      <c r="C46" s="465"/>
      <c r="D46" s="457" t="s">
        <v>773</v>
      </c>
      <c r="E46" s="458">
        <v>12700</v>
      </c>
      <c r="F46" s="458">
        <v>-9520</v>
      </c>
      <c r="G46" s="458">
        <f t="shared" si="7"/>
        <v>3180</v>
      </c>
      <c r="H46" s="458"/>
      <c r="I46" s="458">
        <f t="shared" si="8"/>
        <v>3180</v>
      </c>
      <c r="J46" s="458"/>
      <c r="K46" s="458">
        <f t="shared" si="9"/>
        <v>3180</v>
      </c>
      <c r="L46" s="458">
        <f>241+278</f>
        <v>519</v>
      </c>
      <c r="M46" s="458">
        <f t="shared" si="10"/>
        <v>3699</v>
      </c>
      <c r="N46" s="459">
        <v>241</v>
      </c>
      <c r="O46" s="459">
        <v>278</v>
      </c>
      <c r="P46" s="459"/>
      <c r="Q46" s="459"/>
      <c r="R46" s="459"/>
      <c r="S46" s="697">
        <v>3421</v>
      </c>
    </row>
    <row r="47" spans="1:19" ht="12.75" customHeight="1">
      <c r="A47" s="465" t="s">
        <v>48</v>
      </c>
      <c r="B47" s="465"/>
      <c r="C47" s="465"/>
      <c r="D47" s="457" t="s">
        <v>774</v>
      </c>
      <c r="E47" s="458">
        <v>3445</v>
      </c>
      <c r="F47" s="458"/>
      <c r="G47" s="458">
        <f t="shared" si="7"/>
        <v>3445</v>
      </c>
      <c r="H47" s="458">
        <v>-3000</v>
      </c>
      <c r="I47" s="458">
        <f t="shared" si="8"/>
        <v>445</v>
      </c>
      <c r="J47" s="458">
        <v>942</v>
      </c>
      <c r="K47" s="458">
        <f t="shared" si="9"/>
        <v>1387</v>
      </c>
      <c r="L47" s="458"/>
      <c r="M47" s="458">
        <f t="shared" si="10"/>
        <v>1387</v>
      </c>
      <c r="N47" s="459"/>
      <c r="O47" s="459"/>
      <c r="P47" s="459"/>
      <c r="Q47" s="459"/>
      <c r="R47" s="459"/>
      <c r="S47" s="697">
        <v>1387</v>
      </c>
    </row>
    <row r="48" spans="1:19" ht="12.75" customHeight="1">
      <c r="A48" s="465" t="s">
        <v>48</v>
      </c>
      <c r="B48" s="465"/>
      <c r="C48" s="465"/>
      <c r="D48" s="457" t="s">
        <v>524</v>
      </c>
      <c r="E48" s="458">
        <v>5000</v>
      </c>
      <c r="F48" s="458"/>
      <c r="G48" s="458">
        <f t="shared" si="7"/>
        <v>5000</v>
      </c>
      <c r="H48" s="458"/>
      <c r="I48" s="458">
        <f t="shared" si="8"/>
        <v>5000</v>
      </c>
      <c r="J48" s="458"/>
      <c r="K48" s="458">
        <f t="shared" si="9"/>
        <v>5000</v>
      </c>
      <c r="L48" s="458">
        <v>-4300</v>
      </c>
      <c r="M48" s="458">
        <f t="shared" si="10"/>
        <v>700</v>
      </c>
      <c r="N48" s="459"/>
      <c r="O48" s="459"/>
      <c r="P48" s="459"/>
      <c r="Q48" s="459"/>
      <c r="R48" s="459"/>
      <c r="S48" s="697">
        <v>105</v>
      </c>
    </row>
    <row r="49" spans="1:19" ht="12.75" customHeight="1">
      <c r="A49" s="465" t="s">
        <v>48</v>
      </c>
      <c r="B49" s="465"/>
      <c r="C49" s="465"/>
      <c r="D49" s="457" t="s">
        <v>121</v>
      </c>
      <c r="E49" s="458">
        <v>5000</v>
      </c>
      <c r="F49" s="458"/>
      <c r="G49" s="458">
        <f t="shared" si="7"/>
        <v>5000</v>
      </c>
      <c r="H49" s="458">
        <v>-445</v>
      </c>
      <c r="I49" s="458">
        <f t="shared" si="8"/>
        <v>4555</v>
      </c>
      <c r="J49" s="458"/>
      <c r="K49" s="458">
        <f t="shared" si="9"/>
        <v>4555</v>
      </c>
      <c r="L49" s="458">
        <v>-4280</v>
      </c>
      <c r="M49" s="458">
        <f t="shared" si="10"/>
        <v>275</v>
      </c>
      <c r="N49" s="459"/>
      <c r="O49" s="459"/>
      <c r="P49" s="459"/>
      <c r="Q49" s="459"/>
      <c r="R49" s="459"/>
      <c r="S49" s="697">
        <v>0</v>
      </c>
    </row>
    <row r="50" spans="1:19" ht="12.75" customHeight="1">
      <c r="A50" s="465" t="s">
        <v>67</v>
      </c>
      <c r="B50" s="465"/>
      <c r="C50" s="465"/>
      <c r="D50" s="457" t="s">
        <v>122</v>
      </c>
      <c r="E50" s="458">
        <v>1650</v>
      </c>
      <c r="F50" s="458"/>
      <c r="G50" s="458">
        <f t="shared" si="7"/>
        <v>1650</v>
      </c>
      <c r="H50" s="458"/>
      <c r="I50" s="458">
        <f t="shared" si="8"/>
        <v>1650</v>
      </c>
      <c r="J50" s="458">
        <v>552</v>
      </c>
      <c r="K50" s="458">
        <f t="shared" si="9"/>
        <v>2202</v>
      </c>
      <c r="L50" s="458"/>
      <c r="M50" s="458">
        <f t="shared" si="10"/>
        <v>2202</v>
      </c>
      <c r="N50" s="459"/>
      <c r="O50" s="459"/>
      <c r="P50" s="459"/>
      <c r="Q50" s="459"/>
      <c r="R50" s="459"/>
      <c r="S50" s="697">
        <v>2202</v>
      </c>
    </row>
    <row r="51" spans="1:19" ht="12.75" customHeight="1">
      <c r="A51" s="465" t="s">
        <v>114</v>
      </c>
      <c r="B51" s="465"/>
      <c r="C51" s="465"/>
      <c r="D51" s="457" t="s">
        <v>525</v>
      </c>
      <c r="E51" s="458">
        <v>3000</v>
      </c>
      <c r="F51" s="458"/>
      <c r="G51" s="458">
        <f t="shared" si="7"/>
        <v>3000</v>
      </c>
      <c r="H51" s="458"/>
      <c r="I51" s="458">
        <f t="shared" si="8"/>
        <v>3000</v>
      </c>
      <c r="J51" s="458"/>
      <c r="K51" s="458">
        <f t="shared" si="9"/>
        <v>3000</v>
      </c>
      <c r="L51" s="458"/>
      <c r="M51" s="458">
        <f t="shared" si="10"/>
        <v>3000</v>
      </c>
      <c r="N51" s="459"/>
      <c r="O51" s="459"/>
      <c r="P51" s="459"/>
      <c r="Q51" s="459"/>
      <c r="R51" s="459"/>
      <c r="S51" s="697">
        <v>2997</v>
      </c>
    </row>
    <row r="52" spans="1:19" ht="12.75" customHeight="1">
      <c r="A52" s="465" t="s">
        <v>114</v>
      </c>
      <c r="B52" s="465"/>
      <c r="C52" s="465"/>
      <c r="D52" s="457" t="s">
        <v>526</v>
      </c>
      <c r="E52" s="458">
        <v>4154</v>
      </c>
      <c r="F52" s="458"/>
      <c r="G52" s="458">
        <f t="shared" si="7"/>
        <v>4154</v>
      </c>
      <c r="H52" s="458"/>
      <c r="I52" s="458">
        <f t="shared" si="8"/>
        <v>4154</v>
      </c>
      <c r="J52" s="458"/>
      <c r="K52" s="458">
        <f t="shared" si="9"/>
        <v>4154</v>
      </c>
      <c r="L52" s="458"/>
      <c r="M52" s="458">
        <f t="shared" si="10"/>
        <v>4154</v>
      </c>
      <c r="N52" s="459"/>
      <c r="O52" s="459"/>
      <c r="P52" s="459"/>
      <c r="Q52" s="459"/>
      <c r="R52" s="459"/>
      <c r="S52" s="697">
        <v>4154</v>
      </c>
    </row>
    <row r="53" spans="1:19" ht="12.75" customHeight="1">
      <c r="A53" s="465"/>
      <c r="B53" s="465"/>
      <c r="C53" s="465"/>
      <c r="D53" s="457" t="s">
        <v>123</v>
      </c>
      <c r="E53" s="458">
        <v>3239</v>
      </c>
      <c r="F53" s="458"/>
      <c r="G53" s="458">
        <f t="shared" si="7"/>
        <v>3239</v>
      </c>
      <c r="H53" s="458"/>
      <c r="I53" s="458">
        <f t="shared" si="8"/>
        <v>3239</v>
      </c>
      <c r="J53" s="458"/>
      <c r="K53" s="458">
        <f t="shared" si="9"/>
        <v>3239</v>
      </c>
      <c r="L53" s="458"/>
      <c r="M53" s="458">
        <f t="shared" si="10"/>
        <v>3239</v>
      </c>
      <c r="N53" s="459"/>
      <c r="O53" s="459"/>
      <c r="P53" s="459"/>
      <c r="Q53" s="459"/>
      <c r="R53" s="459"/>
      <c r="S53" s="697">
        <v>3239</v>
      </c>
    </row>
    <row r="54" spans="1:19" ht="12.75" customHeight="1">
      <c r="A54" s="465" t="s">
        <v>56</v>
      </c>
      <c r="B54" s="465"/>
      <c r="C54" s="465"/>
      <c r="D54" s="457" t="s">
        <v>124</v>
      </c>
      <c r="E54" s="458">
        <v>736</v>
      </c>
      <c r="F54" s="458"/>
      <c r="G54" s="458">
        <f t="shared" si="7"/>
        <v>736</v>
      </c>
      <c r="H54" s="458"/>
      <c r="I54" s="458">
        <f t="shared" si="8"/>
        <v>736</v>
      </c>
      <c r="J54" s="458"/>
      <c r="K54" s="458">
        <f t="shared" si="9"/>
        <v>736</v>
      </c>
      <c r="L54" s="458"/>
      <c r="M54" s="458">
        <f t="shared" si="10"/>
        <v>736</v>
      </c>
      <c r="N54" s="459"/>
      <c r="O54" s="459"/>
      <c r="P54" s="459"/>
      <c r="Q54" s="459"/>
      <c r="R54" s="459"/>
      <c r="S54" s="697">
        <v>436</v>
      </c>
    </row>
    <row r="55" spans="1:19" ht="12.75" customHeight="1">
      <c r="A55" s="465"/>
      <c r="B55" s="465"/>
      <c r="C55" s="465"/>
      <c r="D55" s="457" t="s">
        <v>668</v>
      </c>
      <c r="E55" s="458"/>
      <c r="F55" s="458">
        <v>1206</v>
      </c>
      <c r="G55" s="458">
        <f t="shared" si="7"/>
        <v>1206</v>
      </c>
      <c r="H55" s="458"/>
      <c r="I55" s="458">
        <f t="shared" si="8"/>
        <v>1206</v>
      </c>
      <c r="J55" s="458"/>
      <c r="K55" s="458">
        <f t="shared" si="9"/>
        <v>1206</v>
      </c>
      <c r="L55" s="458"/>
      <c r="M55" s="458">
        <f t="shared" si="10"/>
        <v>1206</v>
      </c>
      <c r="N55" s="459"/>
      <c r="O55" s="459"/>
      <c r="P55" s="459"/>
      <c r="Q55" s="459"/>
      <c r="R55" s="459"/>
      <c r="S55" s="697">
        <v>1206</v>
      </c>
    </row>
    <row r="56" spans="1:19" ht="12.75" customHeight="1">
      <c r="A56" s="465"/>
      <c r="B56" s="465"/>
      <c r="C56" s="465"/>
      <c r="D56" s="457" t="s">
        <v>125</v>
      </c>
      <c r="E56" s="458">
        <v>6791</v>
      </c>
      <c r="F56" s="458"/>
      <c r="G56" s="458">
        <f t="shared" si="7"/>
        <v>6791</v>
      </c>
      <c r="H56" s="458"/>
      <c r="I56" s="458">
        <f t="shared" si="8"/>
        <v>6791</v>
      </c>
      <c r="J56" s="458"/>
      <c r="K56" s="458">
        <f t="shared" si="9"/>
        <v>6791</v>
      </c>
      <c r="L56" s="458"/>
      <c r="M56" s="458">
        <f t="shared" si="10"/>
        <v>6791</v>
      </c>
      <c r="N56" s="459"/>
      <c r="O56" s="459"/>
      <c r="P56" s="459"/>
      <c r="Q56" s="459"/>
      <c r="R56" s="459"/>
      <c r="S56" s="697">
        <v>6791</v>
      </c>
    </row>
    <row r="57" spans="1:19" ht="12.75" customHeight="1">
      <c r="A57" s="465"/>
      <c r="B57" s="465"/>
      <c r="C57" s="465"/>
      <c r="D57" s="457" t="s">
        <v>765</v>
      </c>
      <c r="E57" s="458"/>
      <c r="F57" s="458"/>
      <c r="G57" s="458"/>
      <c r="H57" s="458">
        <v>474</v>
      </c>
      <c r="I57" s="458">
        <f t="shared" si="8"/>
        <v>474</v>
      </c>
      <c r="J57" s="458"/>
      <c r="K57" s="458">
        <f t="shared" si="9"/>
        <v>474</v>
      </c>
      <c r="L57" s="458"/>
      <c r="M57" s="458">
        <f t="shared" si="10"/>
        <v>474</v>
      </c>
      <c r="N57" s="459"/>
      <c r="O57" s="459"/>
      <c r="P57" s="459"/>
      <c r="Q57" s="459"/>
      <c r="R57" s="459"/>
      <c r="S57" s="697">
        <v>474</v>
      </c>
    </row>
    <row r="58" spans="1:19" ht="12.75" customHeight="1">
      <c r="A58" s="449"/>
      <c r="B58" s="449"/>
      <c r="C58" s="449"/>
      <c r="D58" s="457" t="s">
        <v>775</v>
      </c>
      <c r="E58" s="458"/>
      <c r="F58" s="458"/>
      <c r="G58" s="458"/>
      <c r="H58" s="458">
        <v>3123</v>
      </c>
      <c r="I58" s="458">
        <f t="shared" si="8"/>
        <v>3123</v>
      </c>
      <c r="J58" s="458"/>
      <c r="K58" s="458">
        <f t="shared" si="9"/>
        <v>3123</v>
      </c>
      <c r="L58" s="458"/>
      <c r="M58" s="458">
        <f t="shared" si="10"/>
        <v>3123</v>
      </c>
      <c r="N58" s="473"/>
      <c r="O58" s="473"/>
      <c r="P58" s="473"/>
      <c r="Q58" s="473"/>
      <c r="R58" s="473"/>
      <c r="S58" s="697">
        <v>3123</v>
      </c>
    </row>
    <row r="59" spans="1:19" ht="12.75" customHeight="1">
      <c r="A59" s="465"/>
      <c r="B59" s="465"/>
      <c r="C59" s="465"/>
      <c r="D59" s="457" t="s">
        <v>811</v>
      </c>
      <c r="E59" s="458"/>
      <c r="F59" s="458"/>
      <c r="G59" s="458"/>
      <c r="H59" s="458"/>
      <c r="I59" s="458"/>
      <c r="J59" s="458">
        <v>187</v>
      </c>
      <c r="K59" s="458">
        <f t="shared" si="9"/>
        <v>187</v>
      </c>
      <c r="L59" s="458"/>
      <c r="M59" s="458">
        <f t="shared" si="10"/>
        <v>187</v>
      </c>
      <c r="N59" s="466"/>
      <c r="O59" s="466"/>
      <c r="P59" s="466"/>
      <c r="Q59" s="466"/>
      <c r="R59" s="466"/>
      <c r="S59" s="697">
        <v>187</v>
      </c>
    </row>
    <row r="60" spans="1:19" ht="12.75" customHeight="1">
      <c r="A60" s="465"/>
      <c r="B60" s="465"/>
      <c r="C60" s="465"/>
      <c r="D60" s="457" t="s">
        <v>996</v>
      </c>
      <c r="E60" s="458"/>
      <c r="F60" s="458"/>
      <c r="G60" s="458"/>
      <c r="H60" s="458"/>
      <c r="I60" s="458"/>
      <c r="J60" s="458"/>
      <c r="K60" s="458"/>
      <c r="L60" s="458">
        <v>4991</v>
      </c>
      <c r="M60" s="458">
        <f t="shared" si="10"/>
        <v>4991</v>
      </c>
      <c r="N60" s="466"/>
      <c r="O60" s="466"/>
      <c r="P60" s="466"/>
      <c r="Q60" s="466"/>
      <c r="R60" s="466"/>
      <c r="S60" s="697">
        <v>4991</v>
      </c>
    </row>
    <row r="61" spans="1:19" ht="12.75" customHeight="1">
      <c r="A61" s="465"/>
      <c r="B61" s="465"/>
      <c r="C61" s="465"/>
      <c r="D61" s="457" t="s">
        <v>997</v>
      </c>
      <c r="E61" s="458"/>
      <c r="F61" s="458"/>
      <c r="G61" s="458"/>
      <c r="H61" s="458"/>
      <c r="I61" s="458"/>
      <c r="J61" s="458"/>
      <c r="K61" s="458"/>
      <c r="L61" s="458">
        <v>673</v>
      </c>
      <c r="M61" s="458">
        <f t="shared" si="10"/>
        <v>673</v>
      </c>
      <c r="N61" s="466"/>
      <c r="O61" s="466"/>
      <c r="P61" s="466"/>
      <c r="Q61" s="466"/>
      <c r="R61" s="466"/>
      <c r="S61" s="697">
        <v>673</v>
      </c>
    </row>
    <row r="62" spans="1:19" ht="12.75" customHeight="1">
      <c r="A62" s="465"/>
      <c r="B62" s="465"/>
      <c r="C62" s="465"/>
      <c r="D62" s="457" t="s">
        <v>998</v>
      </c>
      <c r="E62" s="458"/>
      <c r="F62" s="458"/>
      <c r="G62" s="458"/>
      <c r="H62" s="458"/>
      <c r="I62" s="458"/>
      <c r="J62" s="458"/>
      <c r="K62" s="458"/>
      <c r="L62" s="458">
        <v>692</v>
      </c>
      <c r="M62" s="458">
        <f t="shared" si="10"/>
        <v>692</v>
      </c>
      <c r="N62" s="466"/>
      <c r="O62" s="466"/>
      <c r="P62" s="466"/>
      <c r="Q62" s="466"/>
      <c r="R62" s="466"/>
      <c r="S62" s="697">
        <v>692</v>
      </c>
    </row>
    <row r="63" spans="1:19" ht="12.75" customHeight="1">
      <c r="A63" s="465"/>
      <c r="B63" s="465"/>
      <c r="C63" s="465"/>
      <c r="D63" s="457"/>
      <c r="E63" s="458"/>
      <c r="F63" s="458"/>
      <c r="G63" s="458"/>
      <c r="H63" s="458"/>
      <c r="I63" s="458"/>
      <c r="J63" s="458"/>
      <c r="K63" s="458"/>
      <c r="L63" s="458"/>
      <c r="M63" s="458"/>
      <c r="N63" s="466"/>
      <c r="O63" s="466"/>
      <c r="P63" s="466"/>
      <c r="Q63" s="466"/>
      <c r="R63" s="466"/>
      <c r="S63" s="697"/>
    </row>
    <row r="64" spans="1:19" ht="12.75" customHeight="1">
      <c r="A64" s="465"/>
      <c r="B64" s="465"/>
      <c r="C64" s="465"/>
      <c r="D64" s="457"/>
      <c r="E64" s="458"/>
      <c r="F64" s="458"/>
      <c r="G64" s="458"/>
      <c r="H64" s="458"/>
      <c r="I64" s="458"/>
      <c r="J64" s="458"/>
      <c r="K64" s="458"/>
      <c r="L64" s="458"/>
      <c r="M64" s="458"/>
      <c r="N64" s="466"/>
      <c r="O64" s="466"/>
      <c r="P64" s="466"/>
      <c r="Q64" s="466"/>
      <c r="R64" s="466"/>
      <c r="S64" s="697"/>
    </row>
    <row r="65" spans="1:19" ht="12.75" customHeight="1">
      <c r="A65" s="465"/>
      <c r="B65" s="465"/>
      <c r="C65" s="465"/>
      <c r="D65" s="461" t="s">
        <v>13</v>
      </c>
      <c r="E65" s="462">
        <f>SUM(E66:E73)</f>
        <v>19664</v>
      </c>
      <c r="F65" s="462">
        <f aca="true" t="shared" si="11" ref="F65:S65">SUM(F66:F74)</f>
        <v>4200</v>
      </c>
      <c r="G65" s="462">
        <f t="shared" si="11"/>
        <v>23864</v>
      </c>
      <c r="H65" s="462">
        <f t="shared" si="11"/>
        <v>-4382</v>
      </c>
      <c r="I65" s="462">
        <f t="shared" si="11"/>
        <v>19482</v>
      </c>
      <c r="J65" s="462">
        <f t="shared" si="11"/>
        <v>-625</v>
      </c>
      <c r="K65" s="462">
        <f t="shared" si="11"/>
        <v>18857</v>
      </c>
      <c r="L65" s="462">
        <f t="shared" si="11"/>
        <v>-5400</v>
      </c>
      <c r="M65" s="462">
        <f t="shared" si="11"/>
        <v>13457</v>
      </c>
      <c r="N65" s="462">
        <f t="shared" si="11"/>
        <v>0</v>
      </c>
      <c r="O65" s="462">
        <f t="shared" si="11"/>
        <v>0</v>
      </c>
      <c r="P65" s="462">
        <f t="shared" si="11"/>
        <v>0</v>
      </c>
      <c r="Q65" s="462">
        <f t="shared" si="11"/>
        <v>0</v>
      </c>
      <c r="R65" s="462">
        <f t="shared" si="11"/>
        <v>0</v>
      </c>
      <c r="S65" s="463">
        <f t="shared" si="11"/>
        <v>11577</v>
      </c>
    </row>
    <row r="66" spans="1:19" ht="12.75" customHeight="1">
      <c r="A66" s="465"/>
      <c r="B66" s="465"/>
      <c r="C66" s="465"/>
      <c r="D66" s="457" t="s">
        <v>507</v>
      </c>
      <c r="E66" s="458">
        <v>2654</v>
      </c>
      <c r="F66" s="458"/>
      <c r="G66" s="458">
        <f>E66+F66</f>
        <v>2654</v>
      </c>
      <c r="H66" s="458">
        <v>118</v>
      </c>
      <c r="I66" s="458">
        <f>G66+H66</f>
        <v>2772</v>
      </c>
      <c r="J66" s="458"/>
      <c r="K66" s="458">
        <f>I66+J66</f>
        <v>2772</v>
      </c>
      <c r="L66" s="458"/>
      <c r="M66" s="458">
        <f>K66+L66</f>
        <v>2772</v>
      </c>
      <c r="N66" s="466"/>
      <c r="O66" s="466"/>
      <c r="P66" s="466"/>
      <c r="Q66" s="466"/>
      <c r="R66" s="466"/>
      <c r="S66" s="697">
        <v>2739</v>
      </c>
    </row>
    <row r="67" spans="1:19" ht="12.75" customHeight="1">
      <c r="A67" s="465"/>
      <c r="B67" s="465"/>
      <c r="C67" s="465"/>
      <c r="D67" s="457" t="s">
        <v>537</v>
      </c>
      <c r="E67" s="458">
        <v>1700</v>
      </c>
      <c r="F67" s="458"/>
      <c r="G67" s="458">
        <f aca="true" t="shared" si="12" ref="G67:G74">E67+F67</f>
        <v>1700</v>
      </c>
      <c r="H67" s="458"/>
      <c r="I67" s="458">
        <f aca="true" t="shared" si="13" ref="I67:I74">G67+H67</f>
        <v>1700</v>
      </c>
      <c r="J67" s="458"/>
      <c r="K67" s="458">
        <f aca="true" t="shared" si="14" ref="K67:K74">I67+J67</f>
        <v>1700</v>
      </c>
      <c r="L67" s="458"/>
      <c r="M67" s="458">
        <f aca="true" t="shared" si="15" ref="M67:M74">K67+L67</f>
        <v>1700</v>
      </c>
      <c r="N67" s="466"/>
      <c r="O67" s="466"/>
      <c r="P67" s="466"/>
      <c r="Q67" s="466"/>
      <c r="R67" s="466"/>
      <c r="S67" s="697">
        <v>200</v>
      </c>
    </row>
    <row r="68" spans="1:19" ht="27.75" customHeight="1">
      <c r="A68" s="465"/>
      <c r="B68" s="465"/>
      <c r="C68" s="465"/>
      <c r="D68" s="457" t="s">
        <v>508</v>
      </c>
      <c r="E68" s="458">
        <f>6140+700</f>
        <v>6840</v>
      </c>
      <c r="F68" s="458">
        <v>-800</v>
      </c>
      <c r="G68" s="458">
        <f t="shared" si="12"/>
        <v>6040</v>
      </c>
      <c r="H68" s="458">
        <f>-3500-1000</f>
        <v>-4500</v>
      </c>
      <c r="I68" s="458">
        <f t="shared" si="13"/>
        <v>1540</v>
      </c>
      <c r="J68" s="458">
        <v>-900</v>
      </c>
      <c r="K68" s="458">
        <f t="shared" si="14"/>
        <v>640</v>
      </c>
      <c r="L68" s="458"/>
      <c r="M68" s="458">
        <f t="shared" si="15"/>
        <v>640</v>
      </c>
      <c r="N68" s="466"/>
      <c r="O68" s="466"/>
      <c r="P68" s="466"/>
      <c r="Q68" s="466"/>
      <c r="R68" s="466"/>
      <c r="S68" s="697">
        <v>639</v>
      </c>
    </row>
    <row r="69" spans="1:19" ht="27" customHeight="1">
      <c r="A69" s="465"/>
      <c r="B69" s="465"/>
      <c r="C69" s="465"/>
      <c r="D69" s="457" t="s">
        <v>654</v>
      </c>
      <c r="E69" s="458">
        <v>2700</v>
      </c>
      <c r="F69" s="458"/>
      <c r="G69" s="458">
        <f t="shared" si="12"/>
        <v>2700</v>
      </c>
      <c r="H69" s="458"/>
      <c r="I69" s="458">
        <f t="shared" si="13"/>
        <v>2700</v>
      </c>
      <c r="J69" s="458">
        <v>-475</v>
      </c>
      <c r="K69" s="458">
        <f t="shared" si="14"/>
        <v>2225</v>
      </c>
      <c r="L69" s="458">
        <v>-2000</v>
      </c>
      <c r="M69" s="458">
        <f t="shared" si="15"/>
        <v>225</v>
      </c>
      <c r="N69" s="466"/>
      <c r="O69" s="466"/>
      <c r="P69" s="466"/>
      <c r="Q69" s="466"/>
      <c r="R69" s="466"/>
      <c r="S69" s="697">
        <v>199</v>
      </c>
    </row>
    <row r="70" spans="1:19" ht="26.25" customHeight="1">
      <c r="A70" s="465"/>
      <c r="B70" s="465"/>
      <c r="C70" s="465"/>
      <c r="D70" s="457" t="s">
        <v>538</v>
      </c>
      <c r="E70" s="458">
        <v>3070</v>
      </c>
      <c r="F70" s="458"/>
      <c r="G70" s="458">
        <f t="shared" si="12"/>
        <v>3070</v>
      </c>
      <c r="H70" s="458"/>
      <c r="I70" s="458">
        <f t="shared" si="13"/>
        <v>3070</v>
      </c>
      <c r="J70" s="458">
        <v>-300</v>
      </c>
      <c r="K70" s="458">
        <f t="shared" si="14"/>
        <v>2770</v>
      </c>
      <c r="L70" s="458">
        <v>-2700</v>
      </c>
      <c r="M70" s="458">
        <f t="shared" si="15"/>
        <v>70</v>
      </c>
      <c r="N70" s="466"/>
      <c r="O70" s="466"/>
      <c r="P70" s="466"/>
      <c r="Q70" s="466"/>
      <c r="R70" s="466"/>
      <c r="S70" s="697">
        <v>0</v>
      </c>
    </row>
    <row r="71" spans="1:19" ht="26.25" customHeight="1">
      <c r="A71" s="465"/>
      <c r="B71" s="465"/>
      <c r="C71" s="465"/>
      <c r="D71" s="457" t="s">
        <v>509</v>
      </c>
      <c r="E71" s="458">
        <v>1000</v>
      </c>
      <c r="F71" s="458"/>
      <c r="G71" s="458">
        <f t="shared" si="12"/>
        <v>1000</v>
      </c>
      <c r="H71" s="458"/>
      <c r="I71" s="458">
        <f t="shared" si="13"/>
        <v>1000</v>
      </c>
      <c r="J71" s="458">
        <v>-1000</v>
      </c>
      <c r="K71" s="458">
        <f t="shared" si="14"/>
        <v>0</v>
      </c>
      <c r="L71" s="458"/>
      <c r="M71" s="458">
        <f t="shared" si="15"/>
        <v>0</v>
      </c>
      <c r="N71" s="466"/>
      <c r="O71" s="466"/>
      <c r="P71" s="466"/>
      <c r="Q71" s="466"/>
      <c r="R71" s="466"/>
      <c r="S71" s="697">
        <v>0</v>
      </c>
    </row>
    <row r="72" spans="1:19" ht="26.25" customHeight="1">
      <c r="A72" s="444"/>
      <c r="B72" s="444"/>
      <c r="C72" s="444"/>
      <c r="D72" s="457" t="s">
        <v>766</v>
      </c>
      <c r="E72" s="458">
        <v>1000</v>
      </c>
      <c r="F72" s="458"/>
      <c r="G72" s="458">
        <f t="shared" si="12"/>
        <v>1000</v>
      </c>
      <c r="H72" s="458"/>
      <c r="I72" s="458">
        <f t="shared" si="13"/>
        <v>1000</v>
      </c>
      <c r="J72" s="458">
        <v>-750</v>
      </c>
      <c r="K72" s="458">
        <f t="shared" si="14"/>
        <v>250</v>
      </c>
      <c r="L72" s="458"/>
      <c r="M72" s="458">
        <f t="shared" si="15"/>
        <v>250</v>
      </c>
      <c r="N72" s="459"/>
      <c r="O72" s="459"/>
      <c r="P72" s="459"/>
      <c r="Q72" s="459"/>
      <c r="R72" s="459"/>
      <c r="S72" s="697">
        <v>0</v>
      </c>
    </row>
    <row r="73" spans="1:19" ht="12.75" customHeight="1">
      <c r="A73" s="471"/>
      <c r="B73" s="471"/>
      <c r="C73" s="471"/>
      <c r="D73" s="457" t="s">
        <v>527</v>
      </c>
      <c r="E73" s="458">
        <v>700</v>
      </c>
      <c r="F73" s="458"/>
      <c r="G73" s="458">
        <f t="shared" si="12"/>
        <v>700</v>
      </c>
      <c r="H73" s="458"/>
      <c r="I73" s="458">
        <f t="shared" si="13"/>
        <v>700</v>
      </c>
      <c r="J73" s="458"/>
      <c r="K73" s="458">
        <f t="shared" si="14"/>
        <v>700</v>
      </c>
      <c r="L73" s="458">
        <v>-700</v>
      </c>
      <c r="M73" s="458">
        <f t="shared" si="15"/>
        <v>0</v>
      </c>
      <c r="N73" s="574"/>
      <c r="O73" s="574"/>
      <c r="P73" s="574"/>
      <c r="Q73" s="574"/>
      <c r="R73" s="574"/>
      <c r="S73" s="698">
        <v>0</v>
      </c>
    </row>
    <row r="74" spans="1:19" ht="12.75" customHeight="1">
      <c r="A74" s="444"/>
      <c r="B74" s="444"/>
      <c r="C74" s="444"/>
      <c r="D74" s="457" t="s">
        <v>543</v>
      </c>
      <c r="E74" s="458"/>
      <c r="F74" s="458">
        <v>5000</v>
      </c>
      <c r="G74" s="458">
        <f t="shared" si="12"/>
        <v>5000</v>
      </c>
      <c r="H74" s="458"/>
      <c r="I74" s="458">
        <f t="shared" si="13"/>
        <v>5000</v>
      </c>
      <c r="J74" s="458">
        <f>35+2765</f>
        <v>2800</v>
      </c>
      <c r="K74" s="458">
        <f t="shared" si="14"/>
        <v>7800</v>
      </c>
      <c r="L74" s="458"/>
      <c r="M74" s="458">
        <f t="shared" si="15"/>
        <v>7800</v>
      </c>
      <c r="N74" s="459"/>
      <c r="O74" s="459"/>
      <c r="P74" s="459"/>
      <c r="Q74" s="459"/>
      <c r="R74" s="459"/>
      <c r="S74" s="697">
        <v>7800</v>
      </c>
    </row>
    <row r="75" spans="1:19" ht="12.75" customHeight="1">
      <c r="A75" s="465" t="s">
        <v>17</v>
      </c>
      <c r="B75" s="465"/>
      <c r="C75" s="465"/>
      <c r="D75" s="457"/>
      <c r="E75" s="458"/>
      <c r="F75" s="458"/>
      <c r="G75" s="458"/>
      <c r="H75" s="458"/>
      <c r="I75" s="458"/>
      <c r="J75" s="458"/>
      <c r="K75" s="458"/>
      <c r="L75" s="458"/>
      <c r="M75" s="460"/>
      <c r="N75" s="459"/>
      <c r="O75" s="459"/>
      <c r="P75" s="459"/>
      <c r="Q75" s="459"/>
      <c r="R75" s="459"/>
      <c r="S75" s="697"/>
    </row>
    <row r="76" spans="1:19" ht="13.5" thickBot="1">
      <c r="A76" s="465" t="s">
        <v>79</v>
      </c>
      <c r="B76" s="465"/>
      <c r="C76" s="465"/>
      <c r="D76" s="475" t="s">
        <v>15</v>
      </c>
      <c r="E76" s="476">
        <f aca="true" t="shared" si="16" ref="E76:S76">SUM(E6,E65)</f>
        <v>253927</v>
      </c>
      <c r="F76" s="476">
        <f t="shared" si="16"/>
        <v>9836</v>
      </c>
      <c r="G76" s="477">
        <f t="shared" si="16"/>
        <v>263763</v>
      </c>
      <c r="H76" s="477">
        <f t="shared" si="16"/>
        <v>-16569</v>
      </c>
      <c r="I76" s="477">
        <f t="shared" si="16"/>
        <v>247194</v>
      </c>
      <c r="J76" s="477">
        <f t="shared" si="16"/>
        <v>-3414</v>
      </c>
      <c r="K76" s="477">
        <f t="shared" si="16"/>
        <v>243780</v>
      </c>
      <c r="L76" s="477">
        <f t="shared" si="16"/>
        <v>-57753</v>
      </c>
      <c r="M76" s="477">
        <f t="shared" si="16"/>
        <v>186027</v>
      </c>
      <c r="N76" s="477">
        <f t="shared" si="16"/>
        <v>-7399</v>
      </c>
      <c r="O76" s="477">
        <f t="shared" si="16"/>
        <v>-3359</v>
      </c>
      <c r="P76" s="477">
        <f t="shared" si="16"/>
        <v>-1656</v>
      </c>
      <c r="Q76" s="477">
        <f t="shared" si="16"/>
        <v>-241</v>
      </c>
      <c r="R76" s="477">
        <f t="shared" si="16"/>
        <v>-673</v>
      </c>
      <c r="S76" s="478">
        <f t="shared" si="16"/>
        <v>147304</v>
      </c>
    </row>
  </sheetData>
  <sheetProtection/>
  <mergeCells count="2">
    <mergeCell ref="D1:S1"/>
    <mergeCell ref="D2:S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  <headerFooter>
    <oddHeader>&amp;L9. melléklet a 16/2016.(V.26.) önkormányzati rendelethez
</oddHeader>
  </headerFooter>
  <rowBreaks count="1" manualBreakCount="1">
    <brk id="6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7"/>
  <sheetViews>
    <sheetView view="pageBreakPreview" zoomScaleSheetLayoutView="100" workbookViewId="0" topLeftCell="A13">
      <selection activeCell="I50" sqref="I50"/>
    </sheetView>
  </sheetViews>
  <sheetFormatPr defaultColWidth="9.00390625" defaultRowHeight="12.75"/>
  <cols>
    <col min="1" max="1" width="59.375" style="0" customWidth="1"/>
    <col min="2" max="2" width="8.875" style="0" customWidth="1"/>
    <col min="3" max="4" width="8.625" style="0" customWidth="1"/>
    <col min="5" max="5" width="10.25390625" style="0" customWidth="1"/>
    <col min="6" max="7" width="9.125" style="524" customWidth="1"/>
  </cols>
  <sheetData>
    <row r="2" spans="1:7" ht="14.25" customHeight="1">
      <c r="A2" s="1222" t="s">
        <v>29</v>
      </c>
      <c r="B2" s="1222"/>
      <c r="C2" s="1222"/>
      <c r="D2" s="1222"/>
      <c r="E2" s="1222"/>
      <c r="F2" s="1222"/>
      <c r="G2" s="1222"/>
    </row>
    <row r="3" spans="1:7" ht="14.25" customHeight="1">
      <c r="A3" s="1222" t="s">
        <v>620</v>
      </c>
      <c r="B3" s="1222"/>
      <c r="C3" s="1222"/>
      <c r="D3" s="1222"/>
      <c r="E3" s="1222"/>
      <c r="F3" s="1222"/>
      <c r="G3" s="1222"/>
    </row>
    <row r="4" spans="1:4" ht="14.25" customHeight="1" thickBot="1">
      <c r="A4" s="1"/>
      <c r="B4" s="2"/>
      <c r="C4" s="2"/>
      <c r="D4" s="2"/>
    </row>
    <row r="5" spans="1:7" ht="63.75">
      <c r="A5" s="3" t="s">
        <v>621</v>
      </c>
      <c r="B5" s="4" t="s">
        <v>622</v>
      </c>
      <c r="C5" s="144" t="s">
        <v>977</v>
      </c>
      <c r="D5" s="144" t="s">
        <v>1032</v>
      </c>
      <c r="E5" s="141" t="s">
        <v>623</v>
      </c>
      <c r="F5" s="577" t="s">
        <v>978</v>
      </c>
      <c r="G5" s="277" t="s">
        <v>1033</v>
      </c>
    </row>
    <row r="6" spans="1:7" ht="14.25" customHeight="1">
      <c r="A6" s="7" t="s">
        <v>626</v>
      </c>
      <c r="B6" s="8">
        <v>1000</v>
      </c>
      <c r="C6" s="8">
        <v>1800</v>
      </c>
      <c r="D6" s="8">
        <v>1620</v>
      </c>
      <c r="E6" s="8"/>
      <c r="F6" s="575"/>
      <c r="G6" s="525"/>
    </row>
    <row r="7" spans="1:7" ht="14.25" customHeight="1">
      <c r="A7" s="7" t="s">
        <v>462</v>
      </c>
      <c r="B7" s="8">
        <v>2000</v>
      </c>
      <c r="C7" s="8">
        <v>2000</v>
      </c>
      <c r="D7" s="8">
        <v>1980</v>
      </c>
      <c r="E7" s="8"/>
      <c r="F7" s="575"/>
      <c r="G7" s="525"/>
    </row>
    <row r="8" spans="1:7" ht="14.25" customHeight="1">
      <c r="A8" s="7" t="s">
        <v>627</v>
      </c>
      <c r="B8" s="8">
        <v>300</v>
      </c>
      <c r="C8" s="8">
        <v>300</v>
      </c>
      <c r="D8" s="8">
        <v>80</v>
      </c>
      <c r="E8" s="8"/>
      <c r="F8" s="575"/>
      <c r="G8" s="525"/>
    </row>
    <row r="9" spans="1:7" ht="14.25" customHeight="1">
      <c r="A9" s="5" t="s">
        <v>624</v>
      </c>
      <c r="B9" s="8"/>
      <c r="C9" s="8"/>
      <c r="D9" s="8"/>
      <c r="E9" s="8">
        <v>6300</v>
      </c>
      <c r="F9" s="575">
        <v>8499</v>
      </c>
      <c r="G9" s="525">
        <v>8499</v>
      </c>
    </row>
    <row r="10" spans="1:7" ht="14.25" customHeight="1">
      <c r="A10" s="7" t="s">
        <v>645</v>
      </c>
      <c r="B10" s="8"/>
      <c r="C10" s="8"/>
      <c r="D10" s="8"/>
      <c r="E10" s="8">
        <v>2250</v>
      </c>
      <c r="F10" s="575">
        <v>2951</v>
      </c>
      <c r="G10" s="525">
        <v>2951</v>
      </c>
    </row>
    <row r="11" spans="1:7" ht="14.25" customHeight="1">
      <c r="A11" s="7" t="s">
        <v>635</v>
      </c>
      <c r="B11" s="8"/>
      <c r="C11" s="8"/>
      <c r="D11" s="8"/>
      <c r="E11" s="8">
        <v>900</v>
      </c>
      <c r="F11" s="575">
        <v>1053</v>
      </c>
      <c r="G11" s="525">
        <v>1053</v>
      </c>
    </row>
    <row r="12" spans="1:7" ht="14.25" customHeight="1">
      <c r="A12" s="7" t="s">
        <v>625</v>
      </c>
      <c r="B12" s="8"/>
      <c r="C12" s="8"/>
      <c r="D12" s="8"/>
      <c r="E12" s="8">
        <v>1175</v>
      </c>
      <c r="F12" s="575">
        <v>8645</v>
      </c>
      <c r="G12" s="525">
        <v>8645</v>
      </c>
    </row>
    <row r="13" spans="1:7" ht="14.25" customHeight="1">
      <c r="A13" s="7" t="s">
        <v>636</v>
      </c>
      <c r="B13" s="8"/>
      <c r="C13" s="8"/>
      <c r="D13" s="8"/>
      <c r="E13" s="8">
        <v>2076</v>
      </c>
      <c r="F13" s="575">
        <v>2487</v>
      </c>
      <c r="G13" s="525">
        <v>2487</v>
      </c>
    </row>
    <row r="14" spans="1:7" ht="14.25" customHeight="1">
      <c r="A14" s="7" t="s">
        <v>466</v>
      </c>
      <c r="B14" s="8">
        <v>100</v>
      </c>
      <c r="C14" s="8">
        <v>100</v>
      </c>
      <c r="D14" s="8">
        <v>0</v>
      </c>
      <c r="E14" s="8"/>
      <c r="F14" s="575"/>
      <c r="G14" s="525"/>
    </row>
    <row r="15" spans="1:7" ht="14.25" customHeight="1">
      <c r="A15" s="7" t="s">
        <v>463</v>
      </c>
      <c r="B15" s="8"/>
      <c r="C15" s="8">
        <v>17187</v>
      </c>
      <c r="D15" s="8">
        <v>14779</v>
      </c>
      <c r="E15" s="8"/>
      <c r="F15" s="575"/>
      <c r="G15" s="525"/>
    </row>
    <row r="16" spans="1:7" ht="14.25" customHeight="1">
      <c r="A16" s="7" t="s">
        <v>89</v>
      </c>
      <c r="B16" s="8">
        <v>15000</v>
      </c>
      <c r="C16" s="8">
        <v>0</v>
      </c>
      <c r="D16" s="8">
        <v>0</v>
      </c>
      <c r="E16" s="8"/>
      <c r="F16" s="575"/>
      <c r="G16" s="525"/>
    </row>
    <row r="17" spans="1:7" ht="27" customHeight="1">
      <c r="A17" s="7" t="s">
        <v>464</v>
      </c>
      <c r="B17" s="8">
        <v>10000</v>
      </c>
      <c r="C17" s="8">
        <v>0</v>
      </c>
      <c r="D17" s="8">
        <v>0</v>
      </c>
      <c r="E17" s="8"/>
      <c r="F17" s="575"/>
      <c r="G17" s="525"/>
    </row>
    <row r="18" spans="1:7" ht="14.25" customHeight="1">
      <c r="A18" s="7" t="s">
        <v>465</v>
      </c>
      <c r="B18" s="8">
        <v>2500</v>
      </c>
      <c r="C18" s="8">
        <v>0</v>
      </c>
      <c r="D18" s="8">
        <v>0</v>
      </c>
      <c r="E18" s="8"/>
      <c r="F18" s="575"/>
      <c r="G18" s="525"/>
    </row>
    <row r="19" spans="1:7" ht="14.25" customHeight="1">
      <c r="A19" s="356" t="s">
        <v>785</v>
      </c>
      <c r="B19" s="8">
        <v>5700</v>
      </c>
      <c r="C19" s="8">
        <v>0</v>
      </c>
      <c r="D19" s="8">
        <v>0</v>
      </c>
      <c r="E19" s="8"/>
      <c r="F19" s="575"/>
      <c r="G19" s="525"/>
    </row>
    <row r="20" spans="1:7" ht="14.25" customHeight="1">
      <c r="A20" s="356" t="s">
        <v>784</v>
      </c>
      <c r="B20" s="8"/>
      <c r="C20" s="8">
        <v>29000</v>
      </c>
      <c r="D20" s="8">
        <v>28634</v>
      </c>
      <c r="E20" s="8"/>
      <c r="F20" s="575"/>
      <c r="G20" s="525"/>
    </row>
    <row r="21" spans="1:7" s="11" customFormat="1" ht="29.25" customHeight="1">
      <c r="A21" s="9" t="s">
        <v>628</v>
      </c>
      <c r="B21" s="10">
        <f>SUM(B6:B19)</f>
        <v>36600</v>
      </c>
      <c r="C21" s="10">
        <f>SUM(C6:C20)</f>
        <v>50387</v>
      </c>
      <c r="D21" s="10">
        <f>SUM(D6:D20)</f>
        <v>47093</v>
      </c>
      <c r="E21" s="10">
        <f>SUM(E6:E19)</f>
        <v>12701</v>
      </c>
      <c r="F21" s="10">
        <f>SUM(F6:F19)</f>
        <v>23635</v>
      </c>
      <c r="G21" s="533">
        <f>SUM(G6:G19)</f>
        <v>23635</v>
      </c>
    </row>
    <row r="22" spans="1:7" ht="14.25" customHeight="1">
      <c r="A22" s="12"/>
      <c r="B22" s="13"/>
      <c r="C22" s="13"/>
      <c r="D22" s="13"/>
      <c r="E22" s="8"/>
      <c r="F22" s="575"/>
      <c r="G22" s="525"/>
    </row>
    <row r="23" spans="1:7" ht="14.25" customHeight="1">
      <c r="A23" s="7" t="s">
        <v>629</v>
      </c>
      <c r="B23" s="8">
        <v>4000</v>
      </c>
      <c r="C23" s="8">
        <v>4000</v>
      </c>
      <c r="D23" s="8">
        <v>694</v>
      </c>
      <c r="E23" s="8"/>
      <c r="F23" s="575"/>
      <c r="G23" s="525"/>
    </row>
    <row r="24" spans="1:7" ht="14.25" customHeight="1">
      <c r="A24" s="7" t="s">
        <v>630</v>
      </c>
      <c r="B24" s="8">
        <v>1000</v>
      </c>
      <c r="C24" s="8">
        <v>2476</v>
      </c>
      <c r="D24" s="8">
        <v>2475</v>
      </c>
      <c r="E24" s="8"/>
      <c r="F24" s="575"/>
      <c r="G24" s="525"/>
    </row>
    <row r="25" spans="1:7" ht="14.25" customHeight="1">
      <c r="A25" s="7" t="s">
        <v>631</v>
      </c>
      <c r="B25" s="8">
        <v>500</v>
      </c>
      <c r="C25" s="8">
        <v>646</v>
      </c>
      <c r="D25" s="8">
        <v>646</v>
      </c>
      <c r="E25" s="8"/>
      <c r="F25" s="575"/>
      <c r="G25" s="525"/>
    </row>
    <row r="26" spans="1:7" ht="14.25" customHeight="1">
      <c r="A26" s="7" t="s">
        <v>632</v>
      </c>
      <c r="B26" s="8">
        <v>3374</v>
      </c>
      <c r="C26" s="8">
        <v>7638</v>
      </c>
      <c r="D26" s="8">
        <v>7138</v>
      </c>
      <c r="E26" s="8"/>
      <c r="F26" s="575"/>
      <c r="G26" s="525"/>
    </row>
    <row r="27" spans="1:7" s="11" customFormat="1" ht="14.25" customHeight="1">
      <c r="A27" s="9" t="s">
        <v>633</v>
      </c>
      <c r="B27" s="10">
        <f aca="true" t="shared" si="0" ref="B27:G27">SUM(B23+B24+B25+B26)</f>
        <v>8874</v>
      </c>
      <c r="C27" s="10">
        <f>SUM(C23+C24+C25+C26)</f>
        <v>14760</v>
      </c>
      <c r="D27" s="10">
        <f t="shared" si="0"/>
        <v>10953</v>
      </c>
      <c r="E27" s="10">
        <f t="shared" si="0"/>
        <v>0</v>
      </c>
      <c r="F27" s="576">
        <f>SUM(F23+F24+F25+F26)</f>
        <v>0</v>
      </c>
      <c r="G27" s="533">
        <f t="shared" si="0"/>
        <v>0</v>
      </c>
    </row>
    <row r="28" spans="1:7" ht="14.25" customHeight="1">
      <c r="A28" s="7"/>
      <c r="B28" s="8"/>
      <c r="C28" s="8"/>
      <c r="D28" s="8"/>
      <c r="E28" s="8"/>
      <c r="F28" s="575"/>
      <c r="G28" s="525"/>
    </row>
    <row r="29" spans="1:7" s="11" customFormat="1" ht="14.25" customHeight="1">
      <c r="A29" s="9" t="s">
        <v>634</v>
      </c>
      <c r="B29" s="10">
        <f aca="true" t="shared" si="1" ref="B29:G29">SUM(B21+B27)</f>
        <v>45474</v>
      </c>
      <c r="C29" s="10">
        <f>SUM(C21+C27)</f>
        <v>65147</v>
      </c>
      <c r="D29" s="10">
        <f t="shared" si="1"/>
        <v>58046</v>
      </c>
      <c r="E29" s="10">
        <f t="shared" si="1"/>
        <v>12701</v>
      </c>
      <c r="F29" s="576">
        <f>SUM(F21+F27)</f>
        <v>23635</v>
      </c>
      <c r="G29" s="533">
        <f t="shared" si="1"/>
        <v>23635</v>
      </c>
    </row>
    <row r="30" spans="1:7" ht="14.25" customHeight="1" thickBot="1">
      <c r="A30" s="142"/>
      <c r="B30" s="63"/>
      <c r="C30" s="63"/>
      <c r="D30" s="63"/>
      <c r="E30" s="143"/>
      <c r="F30" s="578"/>
      <c r="G30" s="527"/>
    </row>
    <row r="31" ht="14.25" customHeight="1"/>
    <row r="32" spans="1:7" ht="14.25" customHeight="1">
      <c r="A32" s="1222" t="s">
        <v>28</v>
      </c>
      <c r="B32" s="1222"/>
      <c r="C32" s="1222"/>
      <c r="D32" s="1222"/>
      <c r="E32" s="1222"/>
      <c r="F32" s="1222"/>
      <c r="G32" s="1222"/>
    </row>
    <row r="33" spans="1:7" ht="14.25" customHeight="1">
      <c r="A33" s="1222" t="s">
        <v>620</v>
      </c>
      <c r="B33" s="1222"/>
      <c r="C33" s="1222"/>
      <c r="D33" s="1222"/>
      <c r="E33" s="1222"/>
      <c r="F33" s="1222"/>
      <c r="G33" s="1222"/>
    </row>
    <row r="34" spans="1:4" ht="14.25" customHeight="1" thickBot="1">
      <c r="A34" s="1"/>
      <c r="B34" s="2"/>
      <c r="C34" s="2"/>
      <c r="D34" s="2"/>
    </row>
    <row r="35" spans="1:7" ht="63.75">
      <c r="A35" s="3" t="s">
        <v>621</v>
      </c>
      <c r="B35" s="4" t="s">
        <v>622</v>
      </c>
      <c r="C35" s="144" t="s">
        <v>977</v>
      </c>
      <c r="D35" s="144" t="s">
        <v>1032</v>
      </c>
      <c r="E35" s="141" t="s">
        <v>623</v>
      </c>
      <c r="F35" s="577" t="s">
        <v>978</v>
      </c>
      <c r="G35" s="277" t="s">
        <v>1033</v>
      </c>
    </row>
    <row r="36" spans="1:7" ht="14.25" customHeight="1">
      <c r="A36" s="16" t="s">
        <v>637</v>
      </c>
      <c r="B36" s="17"/>
      <c r="C36" s="17"/>
      <c r="D36" s="17"/>
      <c r="E36" s="121"/>
      <c r="F36" s="575"/>
      <c r="G36" s="525"/>
    </row>
    <row r="37" spans="1:7" ht="14.25" customHeight="1">
      <c r="A37" s="5" t="s">
        <v>624</v>
      </c>
      <c r="B37" s="6">
        <v>7000</v>
      </c>
      <c r="C37" s="6">
        <v>7554</v>
      </c>
      <c r="D37" s="6">
        <v>7554</v>
      </c>
      <c r="E37" s="8"/>
      <c r="F37" s="575"/>
      <c r="G37" s="525"/>
    </row>
    <row r="38" spans="1:7" ht="14.25" customHeight="1">
      <c r="A38" s="7" t="s">
        <v>645</v>
      </c>
      <c r="B38" s="8">
        <v>2500</v>
      </c>
      <c r="C38" s="8">
        <v>2174</v>
      </c>
      <c r="D38" s="8">
        <v>2175</v>
      </c>
      <c r="E38" s="8"/>
      <c r="F38" s="575"/>
      <c r="G38" s="525"/>
    </row>
    <row r="39" spans="1:7" ht="14.25" customHeight="1">
      <c r="A39" s="7" t="s">
        <v>635</v>
      </c>
      <c r="B39" s="8">
        <v>1000</v>
      </c>
      <c r="C39" s="8">
        <v>780</v>
      </c>
      <c r="D39" s="8">
        <v>780</v>
      </c>
      <c r="E39" s="8"/>
      <c r="F39" s="575"/>
      <c r="G39" s="525"/>
    </row>
    <row r="40" spans="1:7" ht="14.25" customHeight="1">
      <c r="A40" s="7" t="s">
        <v>625</v>
      </c>
      <c r="B40" s="8">
        <v>1305</v>
      </c>
      <c r="C40" s="8">
        <v>10052</v>
      </c>
      <c r="D40" s="8">
        <v>9579</v>
      </c>
      <c r="E40" s="8"/>
      <c r="F40" s="575"/>
      <c r="G40" s="525"/>
    </row>
    <row r="41" spans="1:7" ht="14.25" customHeight="1">
      <c r="A41" s="7" t="s">
        <v>636</v>
      </c>
      <c r="B41" s="8">
        <v>2307</v>
      </c>
      <c r="C41" s="8">
        <v>2619</v>
      </c>
      <c r="D41" s="8">
        <v>2533</v>
      </c>
      <c r="E41" s="8"/>
      <c r="F41" s="575"/>
      <c r="G41" s="525"/>
    </row>
    <row r="42" spans="1:7" ht="14.25" customHeight="1">
      <c r="A42" s="7" t="s">
        <v>661</v>
      </c>
      <c r="B42" s="8">
        <v>0</v>
      </c>
      <c r="C42" s="8">
        <v>308</v>
      </c>
      <c r="D42" s="8">
        <v>308</v>
      </c>
      <c r="E42" s="8"/>
      <c r="F42" s="575"/>
      <c r="G42" s="525"/>
    </row>
    <row r="43" spans="1:7" ht="14.25" customHeight="1">
      <c r="A43" s="7" t="s">
        <v>662</v>
      </c>
      <c r="B43" s="8">
        <v>0</v>
      </c>
      <c r="C43" s="8">
        <v>6560</v>
      </c>
      <c r="D43" s="8">
        <v>6560</v>
      </c>
      <c r="E43" s="8"/>
      <c r="F43" s="575"/>
      <c r="G43" s="525"/>
    </row>
    <row r="44" spans="1:7" ht="14.25" customHeight="1">
      <c r="A44" s="7" t="s">
        <v>988</v>
      </c>
      <c r="B44" s="8">
        <v>0</v>
      </c>
      <c r="C44" s="8">
        <v>100</v>
      </c>
      <c r="D44" s="8">
        <v>100</v>
      </c>
      <c r="E44" s="8"/>
      <c r="F44" s="575"/>
      <c r="G44" s="525"/>
    </row>
    <row r="45" spans="1:7" s="11" customFormat="1" ht="14.25" customHeight="1">
      <c r="A45" s="9" t="s">
        <v>638</v>
      </c>
      <c r="B45" s="10">
        <f>SUM(B37:B44)</f>
        <v>14112</v>
      </c>
      <c r="C45" s="10">
        <f>SUM(C37:C44)</f>
        <v>30147</v>
      </c>
      <c r="D45" s="10">
        <f>SUM(D37:D44)</f>
        <v>29589</v>
      </c>
      <c r="E45" s="10">
        <f>SUM(E37:E41)</f>
        <v>0</v>
      </c>
      <c r="F45" s="579">
        <v>0</v>
      </c>
      <c r="G45" s="526">
        <v>0</v>
      </c>
    </row>
    <row r="46" spans="1:7" ht="14.25" customHeight="1">
      <c r="A46" s="7"/>
      <c r="B46" s="8"/>
      <c r="C46" s="8"/>
      <c r="D46" s="8"/>
      <c r="E46" s="8"/>
      <c r="F46" s="575"/>
      <c r="G46" s="525"/>
    </row>
    <row r="47" spans="1:7" s="11" customFormat="1" ht="14.25" customHeight="1">
      <c r="A47" s="9" t="s">
        <v>641</v>
      </c>
      <c r="B47" s="10"/>
      <c r="C47" s="10"/>
      <c r="D47" s="10"/>
      <c r="E47" s="10"/>
      <c r="F47" s="579"/>
      <c r="G47" s="526"/>
    </row>
    <row r="48" spans="1:7" s="18" customFormat="1" ht="14.25" customHeight="1">
      <c r="A48" s="7" t="s">
        <v>645</v>
      </c>
      <c r="B48" s="8">
        <v>165</v>
      </c>
      <c r="C48" s="8">
        <v>165</v>
      </c>
      <c r="D48" s="8">
        <v>162</v>
      </c>
      <c r="E48" s="8"/>
      <c r="F48" s="575"/>
      <c r="G48" s="525"/>
    </row>
    <row r="49" spans="1:7" s="18" customFormat="1" ht="14.25" customHeight="1">
      <c r="A49" s="7" t="s">
        <v>625</v>
      </c>
      <c r="B49" s="8">
        <v>598</v>
      </c>
      <c r="C49" s="8">
        <v>714</v>
      </c>
      <c r="D49" s="8">
        <v>714</v>
      </c>
      <c r="E49" s="8"/>
      <c r="F49" s="575"/>
      <c r="G49" s="525"/>
    </row>
    <row r="50" spans="1:7" s="18" customFormat="1" ht="14.25" customHeight="1">
      <c r="A50" s="7" t="s">
        <v>624</v>
      </c>
      <c r="B50" s="8">
        <v>700</v>
      </c>
      <c r="C50" s="8">
        <v>1009</v>
      </c>
      <c r="D50" s="8">
        <v>1009</v>
      </c>
      <c r="E50" s="8"/>
      <c r="F50" s="575"/>
      <c r="G50" s="525"/>
    </row>
    <row r="51" spans="1:7" s="11" customFormat="1" ht="14.25" customHeight="1">
      <c r="A51" s="9" t="s">
        <v>642</v>
      </c>
      <c r="B51" s="10">
        <f>SUM(B48:B50)</f>
        <v>1463</v>
      </c>
      <c r="C51" s="10">
        <f>SUM(C48:C50)</f>
        <v>1888</v>
      </c>
      <c r="D51" s="10">
        <f>SUM(D48:D50)</f>
        <v>1885</v>
      </c>
      <c r="E51" s="10">
        <f>SUM(E50)</f>
        <v>0</v>
      </c>
      <c r="F51" s="579">
        <v>0</v>
      </c>
      <c r="G51" s="526">
        <v>0</v>
      </c>
    </row>
    <row r="52" spans="1:7" ht="14.25" customHeight="1">
      <c r="A52" s="7"/>
      <c r="B52" s="8"/>
      <c r="C52" s="8"/>
      <c r="D52" s="8"/>
      <c r="E52" s="8"/>
      <c r="F52" s="575"/>
      <c r="G52" s="525"/>
    </row>
    <row r="53" spans="1:7" s="11" customFormat="1" ht="14.25" customHeight="1">
      <c r="A53" s="9" t="s">
        <v>639</v>
      </c>
      <c r="B53" s="10"/>
      <c r="C53" s="10"/>
      <c r="D53" s="10"/>
      <c r="E53" s="10"/>
      <c r="F53" s="579"/>
      <c r="G53" s="526"/>
    </row>
    <row r="54" spans="1:7" s="18" customFormat="1" ht="14.25" customHeight="1">
      <c r="A54" s="7" t="s">
        <v>645</v>
      </c>
      <c r="B54" s="8">
        <v>142</v>
      </c>
      <c r="C54" s="8">
        <v>77</v>
      </c>
      <c r="D54" s="8">
        <v>77</v>
      </c>
      <c r="E54" s="8"/>
      <c r="F54" s="575"/>
      <c r="G54" s="525"/>
    </row>
    <row r="55" spans="1:7" s="18" customFormat="1" ht="14.25" customHeight="1">
      <c r="A55" s="7" t="s">
        <v>625</v>
      </c>
      <c r="B55" s="8">
        <v>124</v>
      </c>
      <c r="C55" s="8">
        <v>255</v>
      </c>
      <c r="D55" s="8">
        <v>255</v>
      </c>
      <c r="E55" s="8"/>
      <c r="F55" s="575"/>
      <c r="G55" s="525"/>
    </row>
    <row r="56" spans="1:7" s="18" customFormat="1" ht="14.25" customHeight="1">
      <c r="A56" s="7" t="s">
        <v>624</v>
      </c>
      <c r="B56" s="8">
        <v>434</v>
      </c>
      <c r="C56" s="8">
        <v>646</v>
      </c>
      <c r="D56" s="8">
        <v>646</v>
      </c>
      <c r="E56" s="8"/>
      <c r="F56" s="575"/>
      <c r="G56" s="525"/>
    </row>
    <row r="57" spans="1:7" s="11" customFormat="1" ht="14.25" customHeight="1">
      <c r="A57" s="9" t="s">
        <v>640</v>
      </c>
      <c r="B57" s="10">
        <f>SUM(B54:B56)</f>
        <v>700</v>
      </c>
      <c r="C57" s="10">
        <f>SUM(C54:C56)</f>
        <v>978</v>
      </c>
      <c r="D57" s="10">
        <f>SUM(D54:D56)</f>
        <v>978</v>
      </c>
      <c r="E57" s="10">
        <f>SUM(E56)</f>
        <v>0</v>
      </c>
      <c r="F57" s="579">
        <v>0</v>
      </c>
      <c r="G57" s="526">
        <v>0</v>
      </c>
    </row>
    <row r="58" spans="1:7" ht="14.25" customHeight="1">
      <c r="A58" s="7"/>
      <c r="B58" s="8"/>
      <c r="C58" s="8"/>
      <c r="D58" s="8"/>
      <c r="E58" s="8"/>
      <c r="F58" s="575"/>
      <c r="G58" s="525"/>
    </row>
    <row r="59" spans="1:7" s="11" customFormat="1" ht="14.25" customHeight="1">
      <c r="A59" s="9" t="s">
        <v>643</v>
      </c>
      <c r="B59" s="10"/>
      <c r="C59" s="10"/>
      <c r="D59" s="10"/>
      <c r="E59" s="10"/>
      <c r="F59" s="579"/>
      <c r="G59" s="526"/>
    </row>
    <row r="60" spans="1:7" s="18" customFormat="1" ht="14.25" customHeight="1">
      <c r="A60" s="7" t="s">
        <v>636</v>
      </c>
      <c r="B60" s="8">
        <v>200</v>
      </c>
      <c r="C60" s="8">
        <v>0</v>
      </c>
      <c r="D60" s="8">
        <v>0</v>
      </c>
      <c r="E60" s="8"/>
      <c r="F60" s="575"/>
      <c r="G60" s="525"/>
    </row>
    <row r="61" spans="1:7" s="18" customFormat="1" ht="14.25" customHeight="1">
      <c r="A61" s="7" t="s">
        <v>625</v>
      </c>
      <c r="B61" s="8">
        <v>28</v>
      </c>
      <c r="C61" s="8">
        <v>0</v>
      </c>
      <c r="D61" s="8">
        <v>0</v>
      </c>
      <c r="E61" s="8"/>
      <c r="F61" s="575"/>
      <c r="G61" s="525"/>
    </row>
    <row r="62" spans="1:7" s="18" customFormat="1" ht="14.25" customHeight="1">
      <c r="A62" s="7" t="s">
        <v>624</v>
      </c>
      <c r="B62" s="8">
        <v>274</v>
      </c>
      <c r="C62" s="8">
        <v>68</v>
      </c>
      <c r="D62" s="8">
        <v>68</v>
      </c>
      <c r="E62" s="8"/>
      <c r="F62" s="575"/>
      <c r="G62" s="525"/>
    </row>
    <row r="63" spans="1:7" s="11" customFormat="1" ht="14.25" customHeight="1">
      <c r="A63" s="9" t="s">
        <v>644</v>
      </c>
      <c r="B63" s="10">
        <f>SUM(B60:B62)</f>
        <v>502</v>
      </c>
      <c r="C63" s="10">
        <f>SUM(C60:C62)</f>
        <v>68</v>
      </c>
      <c r="D63" s="10">
        <f>SUM(D60:D62)</f>
        <v>68</v>
      </c>
      <c r="E63" s="10">
        <f>SUM(E61)</f>
        <v>0</v>
      </c>
      <c r="F63" s="579">
        <v>0</v>
      </c>
      <c r="G63" s="526">
        <v>0</v>
      </c>
    </row>
    <row r="64" spans="1:7" ht="14.25" customHeight="1">
      <c r="A64" s="7"/>
      <c r="B64" s="8"/>
      <c r="C64" s="8"/>
      <c r="D64" s="8"/>
      <c r="E64" s="8"/>
      <c r="F64" s="575"/>
      <c r="G64" s="525"/>
    </row>
    <row r="65" spans="1:7" ht="14.25" customHeight="1" thickBot="1">
      <c r="A65" s="14" t="s">
        <v>628</v>
      </c>
      <c r="B65" s="15">
        <f>SUM(B45,B51,B57,B63)</f>
        <v>16777</v>
      </c>
      <c r="C65" s="15">
        <f>SUM(C45,C51,C57,C63)</f>
        <v>33081</v>
      </c>
      <c r="D65" s="15">
        <f>SUM(D45,D51,D57,D63)</f>
        <v>32520</v>
      </c>
      <c r="E65" s="15">
        <f>SUM(E45,E51,E57,E63)</f>
        <v>0</v>
      </c>
      <c r="F65" s="580">
        <v>0</v>
      </c>
      <c r="G65" s="528">
        <v>0</v>
      </c>
    </row>
    <row r="66" spans="1:5" ht="12.75">
      <c r="A66" s="422"/>
      <c r="B66" s="423"/>
      <c r="C66" s="423"/>
      <c r="D66" s="423"/>
      <c r="E66" s="423"/>
    </row>
    <row r="67" spans="1:5" ht="12.75">
      <c r="A67" s="423"/>
      <c r="B67" s="423"/>
      <c r="C67" s="423"/>
      <c r="D67" s="423"/>
      <c r="E67" s="423"/>
    </row>
  </sheetData>
  <sheetProtection/>
  <mergeCells count="4">
    <mergeCell ref="A2:G2"/>
    <mergeCell ref="A3:G3"/>
    <mergeCell ref="A32:G32"/>
    <mergeCell ref="A33:G33"/>
  </mergeCells>
  <printOptions horizontalCentered="1"/>
  <pageMargins left="0.7874015748031497" right="0.7874015748031497" top="0.5905511811023623" bottom="0.8661417322834646" header="0.35433070866141736" footer="0.1968503937007874"/>
  <pageSetup fitToWidth="0" fitToHeight="1" horizontalDpi="600" verticalDpi="600" orientation="portrait" paperSize="9" scale="72" r:id="rId1"/>
  <headerFooter alignWithMargins="0">
    <oddHeader>&amp;L10. melléklet a 16/2016.(V.26.)   önkormányzati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8"/>
  <sheetViews>
    <sheetView view="pageBreakPreview" zoomScale="90" zoomScaleSheetLayoutView="90" workbookViewId="0" topLeftCell="B4">
      <selection activeCell="E125" sqref="E125"/>
    </sheetView>
  </sheetViews>
  <sheetFormatPr defaultColWidth="9.00390625" defaultRowHeight="12.75"/>
  <cols>
    <col min="1" max="1" width="0" style="81" hidden="1" customWidth="1"/>
    <col min="2" max="2" width="91.00390625" style="28" customWidth="1"/>
    <col min="3" max="3" width="12.25390625" style="20" customWidth="1"/>
    <col min="4" max="5" width="13.25390625" style="19" customWidth="1"/>
    <col min="6" max="6" width="3.00390625" style="19" customWidth="1"/>
    <col min="7" max="16384" width="9.125" style="19" customWidth="1"/>
  </cols>
  <sheetData>
    <row r="1" spans="2:3" ht="12.75">
      <c r="B1" s="31"/>
      <c r="C1" s="24"/>
    </row>
    <row r="2" spans="2:5" ht="32.25" customHeight="1">
      <c r="B2" s="1223" t="s">
        <v>1207</v>
      </c>
      <c r="C2" s="1223"/>
      <c r="D2" s="1223"/>
      <c r="E2" s="1223"/>
    </row>
    <row r="3" spans="2:5" ht="15.75">
      <c r="B3" s="1224" t="s">
        <v>16</v>
      </c>
      <c r="C3" s="1224"/>
      <c r="D3" s="1224"/>
      <c r="E3" s="1224"/>
    </row>
    <row r="4" spans="2:3" ht="13.5" thickBot="1">
      <c r="B4" s="140"/>
      <c r="C4" s="27"/>
    </row>
    <row r="5" spans="1:5" ht="13.5" customHeight="1">
      <c r="A5" s="83" t="s">
        <v>39</v>
      </c>
      <c r="B5" s="29" t="s">
        <v>621</v>
      </c>
      <c r="C5" s="139" t="s">
        <v>4</v>
      </c>
      <c r="D5" s="274" t="s">
        <v>976</v>
      </c>
      <c r="E5" s="274" t="s">
        <v>1032</v>
      </c>
    </row>
    <row r="6" spans="2:5" ht="12.75">
      <c r="B6" s="22"/>
      <c r="C6" s="136"/>
      <c r="D6" s="333"/>
      <c r="E6" s="333"/>
    </row>
    <row r="7" spans="2:5" ht="12.75">
      <c r="B7" s="26" t="s">
        <v>150</v>
      </c>
      <c r="C7" s="137"/>
      <c r="D7" s="333"/>
      <c r="E7" s="333"/>
    </row>
    <row r="8" spans="2:5" ht="12.75">
      <c r="B8" s="22"/>
      <c r="C8" s="136"/>
      <c r="D8" s="333"/>
      <c r="E8" s="333"/>
    </row>
    <row r="9" spans="1:5" s="25" customFormat="1" ht="12.75">
      <c r="A9" s="86"/>
      <c r="B9" s="26" t="s">
        <v>155</v>
      </c>
      <c r="C9" s="137">
        <f>SUM(C10:C13)</f>
        <v>327805</v>
      </c>
      <c r="D9" s="430">
        <f>SUM(D10:D17)</f>
        <v>361652</v>
      </c>
      <c r="E9" s="430">
        <f>SUM(E10:E17)</f>
        <v>351935</v>
      </c>
    </row>
    <row r="10" spans="1:5" ht="12.75">
      <c r="A10" s="83" t="s">
        <v>17</v>
      </c>
      <c r="B10" s="22" t="s">
        <v>172</v>
      </c>
      <c r="C10" s="136">
        <v>321405</v>
      </c>
      <c r="D10" s="428">
        <v>350026</v>
      </c>
      <c r="E10" s="428">
        <v>341662</v>
      </c>
    </row>
    <row r="11" spans="1:5" ht="12.75">
      <c r="A11" s="83" t="s">
        <v>102</v>
      </c>
      <c r="B11" s="22" t="s">
        <v>153</v>
      </c>
      <c r="C11" s="136">
        <v>2400</v>
      </c>
      <c r="D11" s="510">
        <v>2400</v>
      </c>
      <c r="E11" s="510">
        <v>2372</v>
      </c>
    </row>
    <row r="12" spans="1:5" ht="12.75">
      <c r="A12" s="83" t="s">
        <v>104</v>
      </c>
      <c r="B12" s="22" t="s">
        <v>467</v>
      </c>
      <c r="C12" s="136">
        <v>4000</v>
      </c>
      <c r="D12" s="510">
        <v>4000</v>
      </c>
      <c r="E12" s="510">
        <v>2675</v>
      </c>
    </row>
    <row r="13" spans="2:5" ht="12.75">
      <c r="B13" s="22" t="s">
        <v>175</v>
      </c>
      <c r="C13" s="136"/>
      <c r="D13" s="428">
        <v>900</v>
      </c>
      <c r="E13" s="428">
        <v>900</v>
      </c>
    </row>
    <row r="14" spans="2:5" ht="12.75">
      <c r="B14" s="22" t="s">
        <v>473</v>
      </c>
      <c r="C14" s="136"/>
      <c r="D14" s="428">
        <v>0</v>
      </c>
      <c r="E14" s="428">
        <v>0</v>
      </c>
    </row>
    <row r="15" spans="2:5" ht="12.75">
      <c r="B15" s="22" t="s">
        <v>126</v>
      </c>
      <c r="C15" s="136"/>
      <c r="D15" s="510">
        <v>300</v>
      </c>
      <c r="E15" s="510">
        <v>300</v>
      </c>
    </row>
    <row r="16" spans="2:5" ht="12.75">
      <c r="B16" s="22" t="s">
        <v>217</v>
      </c>
      <c r="C16" s="136"/>
      <c r="D16" s="510">
        <v>4000</v>
      </c>
      <c r="E16" s="510">
        <v>4000</v>
      </c>
    </row>
    <row r="17" spans="2:5" ht="12.75">
      <c r="B17" s="22" t="s">
        <v>786</v>
      </c>
      <c r="C17" s="136"/>
      <c r="D17" s="510">
        <v>26</v>
      </c>
      <c r="E17" s="510">
        <v>26</v>
      </c>
    </row>
    <row r="18" spans="2:5" ht="12.75">
      <c r="B18" s="22"/>
      <c r="C18" s="136"/>
      <c r="D18" s="333"/>
      <c r="E18" s="333"/>
    </row>
    <row r="19" spans="1:5" s="25" customFormat="1" ht="12.75">
      <c r="A19" s="86"/>
      <c r="B19" s="26" t="s">
        <v>157</v>
      </c>
      <c r="C19" s="137">
        <f>SUM(C20:C59)</f>
        <v>540123</v>
      </c>
      <c r="D19" s="430">
        <f>SUM(D20:D73)</f>
        <v>553394</v>
      </c>
      <c r="E19" s="430">
        <f>SUM(E20:E73)</f>
        <v>544431</v>
      </c>
    </row>
    <row r="20" spans="1:5" ht="12.75">
      <c r="A20" s="83" t="s">
        <v>101</v>
      </c>
      <c r="B20" s="22" t="s">
        <v>167</v>
      </c>
      <c r="C20" s="136">
        <v>15000</v>
      </c>
      <c r="D20" s="428">
        <v>15000</v>
      </c>
      <c r="E20" s="428">
        <v>15000</v>
      </c>
    </row>
    <row r="21" spans="1:5" ht="12.75">
      <c r="A21" s="83" t="s">
        <v>101</v>
      </c>
      <c r="B21" s="22" t="s">
        <v>168</v>
      </c>
      <c r="C21" s="136">
        <v>7000</v>
      </c>
      <c r="D21" s="428">
        <v>7000</v>
      </c>
      <c r="E21" s="428">
        <v>7000</v>
      </c>
    </row>
    <row r="22" spans="1:5" ht="12.75">
      <c r="A22" s="83" t="s">
        <v>147</v>
      </c>
      <c r="B22" s="22" t="s">
        <v>787</v>
      </c>
      <c r="C22" s="136">
        <v>142382</v>
      </c>
      <c r="D22" s="428">
        <v>168800</v>
      </c>
      <c r="E22" s="428">
        <v>168800</v>
      </c>
    </row>
    <row r="23" spans="1:5" ht="12.75">
      <c r="A23" s="83" t="s">
        <v>105</v>
      </c>
      <c r="B23" s="22" t="s">
        <v>127</v>
      </c>
      <c r="C23" s="136">
        <v>113745</v>
      </c>
      <c r="D23" s="428">
        <v>136282</v>
      </c>
      <c r="E23" s="428">
        <v>129895</v>
      </c>
    </row>
    <row r="24" spans="1:5" ht="12.75">
      <c r="A24" s="83" t="s">
        <v>101</v>
      </c>
      <c r="B24" s="22" t="s">
        <v>218</v>
      </c>
      <c r="C24" s="136">
        <v>20000</v>
      </c>
      <c r="D24" s="428">
        <v>10000</v>
      </c>
      <c r="E24" s="428">
        <v>10000</v>
      </c>
    </row>
    <row r="25" spans="1:5" ht="12.75">
      <c r="A25" s="83" t="s">
        <v>101</v>
      </c>
      <c r="B25" s="22" t="s">
        <v>220</v>
      </c>
      <c r="C25" s="136">
        <v>64000</v>
      </c>
      <c r="D25" s="428">
        <v>64600</v>
      </c>
      <c r="E25" s="428">
        <v>64600</v>
      </c>
    </row>
    <row r="26" spans="1:5" ht="12.75">
      <c r="A26" s="83" t="s">
        <v>101</v>
      </c>
      <c r="B26" s="22" t="s">
        <v>224</v>
      </c>
      <c r="C26" s="136">
        <v>45000</v>
      </c>
      <c r="D26" s="428">
        <v>43500</v>
      </c>
      <c r="E26" s="428">
        <v>43500</v>
      </c>
    </row>
    <row r="27" spans="1:5" ht="12.75">
      <c r="A27" s="83" t="s">
        <v>101</v>
      </c>
      <c r="B27" s="22" t="s">
        <v>169</v>
      </c>
      <c r="C27" s="136">
        <v>3000</v>
      </c>
      <c r="D27" s="428">
        <v>2500</v>
      </c>
      <c r="E27" s="428">
        <v>2400</v>
      </c>
    </row>
    <row r="28" spans="1:5" ht="12.75">
      <c r="A28" s="83" t="s">
        <v>101</v>
      </c>
      <c r="B28" s="22" t="s">
        <v>175</v>
      </c>
      <c r="C28" s="136">
        <v>5000</v>
      </c>
      <c r="D28" s="428">
        <v>4000</v>
      </c>
      <c r="E28" s="428">
        <v>3900</v>
      </c>
    </row>
    <row r="29" spans="1:5" ht="12.75">
      <c r="A29" s="83" t="s">
        <v>101</v>
      </c>
      <c r="B29" s="22" t="s">
        <v>468</v>
      </c>
      <c r="C29" s="136">
        <v>4000</v>
      </c>
      <c r="D29" s="428">
        <v>2556</v>
      </c>
      <c r="E29" s="428">
        <v>2260</v>
      </c>
    </row>
    <row r="30" spans="1:5" ht="12.75">
      <c r="A30" s="83" t="s">
        <v>101</v>
      </c>
      <c r="B30" s="22" t="s">
        <v>170</v>
      </c>
      <c r="C30" s="136">
        <v>1000</v>
      </c>
      <c r="D30" s="428">
        <v>1000</v>
      </c>
      <c r="E30" s="428">
        <v>1000</v>
      </c>
    </row>
    <row r="31" spans="1:5" ht="12.75">
      <c r="A31" s="83" t="s">
        <v>101</v>
      </c>
      <c r="B31" s="22" t="s">
        <v>171</v>
      </c>
      <c r="C31" s="136">
        <v>847</v>
      </c>
      <c r="D31" s="428">
        <v>847</v>
      </c>
      <c r="E31" s="428">
        <v>847</v>
      </c>
    </row>
    <row r="32" spans="1:5" ht="12.75">
      <c r="A32" s="83" t="s">
        <v>103</v>
      </c>
      <c r="B32" s="22" t="s">
        <v>469</v>
      </c>
      <c r="C32" s="136">
        <v>5740</v>
      </c>
      <c r="D32" s="428">
        <v>5740</v>
      </c>
      <c r="E32" s="428">
        <v>5460</v>
      </c>
    </row>
    <row r="33" spans="1:5" ht="12.75">
      <c r="A33" s="83" t="s">
        <v>101</v>
      </c>
      <c r="B33" s="22" t="s">
        <v>173</v>
      </c>
      <c r="C33" s="136">
        <v>5500</v>
      </c>
      <c r="D33" s="428">
        <v>5500</v>
      </c>
      <c r="E33" s="428">
        <v>5500</v>
      </c>
    </row>
    <row r="34" spans="1:5" ht="12.75">
      <c r="A34" s="83" t="s">
        <v>101</v>
      </c>
      <c r="B34" s="22" t="s">
        <v>174</v>
      </c>
      <c r="C34" s="136">
        <v>1000</v>
      </c>
      <c r="D34" s="428">
        <v>1000</v>
      </c>
      <c r="E34" s="428">
        <v>1000</v>
      </c>
    </row>
    <row r="35" spans="1:5" ht="12.75">
      <c r="A35" s="83" t="s">
        <v>101</v>
      </c>
      <c r="B35" s="22" t="s">
        <v>176</v>
      </c>
      <c r="C35" s="136">
        <v>300</v>
      </c>
      <c r="D35" s="428">
        <v>300</v>
      </c>
      <c r="E35" s="428">
        <v>0</v>
      </c>
    </row>
    <row r="36" spans="1:5" ht="12.75">
      <c r="A36" s="83" t="s">
        <v>101</v>
      </c>
      <c r="B36" s="22" t="s">
        <v>177</v>
      </c>
      <c r="C36" s="136">
        <v>200</v>
      </c>
      <c r="D36" s="428">
        <v>200</v>
      </c>
      <c r="E36" s="428">
        <v>200</v>
      </c>
    </row>
    <row r="37" spans="1:5" ht="12.75">
      <c r="A37" s="83" t="s">
        <v>101</v>
      </c>
      <c r="B37" s="22" t="s">
        <v>178</v>
      </c>
      <c r="C37" s="136">
        <v>500</v>
      </c>
      <c r="D37" s="428">
        <v>1249</v>
      </c>
      <c r="E37" s="428">
        <v>1249</v>
      </c>
    </row>
    <row r="38" spans="1:5" ht="12.75">
      <c r="A38" s="83" t="s">
        <v>101</v>
      </c>
      <c r="B38" s="22" t="s">
        <v>210</v>
      </c>
      <c r="C38" s="136">
        <v>1000</v>
      </c>
      <c r="D38" s="428">
        <v>4500</v>
      </c>
      <c r="E38" s="428">
        <v>4500</v>
      </c>
    </row>
    <row r="39" spans="1:5" ht="12.75">
      <c r="A39" s="83" t="s">
        <v>101</v>
      </c>
      <c r="B39" s="22" t="s">
        <v>470</v>
      </c>
      <c r="C39" s="136">
        <v>1000</v>
      </c>
      <c r="D39" s="428">
        <v>1000</v>
      </c>
      <c r="E39" s="428">
        <v>1000</v>
      </c>
    </row>
    <row r="40" spans="1:5" ht="12.75">
      <c r="A40" s="83" t="s">
        <v>101</v>
      </c>
      <c r="B40" s="22" t="s">
        <v>212</v>
      </c>
      <c r="C40" s="136">
        <v>300</v>
      </c>
      <c r="D40" s="428">
        <v>300</v>
      </c>
      <c r="E40" s="428">
        <v>300</v>
      </c>
    </row>
    <row r="41" spans="1:5" ht="12.75">
      <c r="A41" s="83" t="s">
        <v>101</v>
      </c>
      <c r="B41" s="22" t="s">
        <v>211</v>
      </c>
      <c r="C41" s="136">
        <v>300</v>
      </c>
      <c r="D41" s="428">
        <v>300</v>
      </c>
      <c r="E41" s="428">
        <v>300</v>
      </c>
    </row>
    <row r="42" spans="1:5" ht="12.75">
      <c r="A42" s="83" t="s">
        <v>101</v>
      </c>
      <c r="B42" s="22" t="s">
        <v>656</v>
      </c>
      <c r="C42" s="136">
        <v>1000</v>
      </c>
      <c r="D42" s="428">
        <v>1000</v>
      </c>
      <c r="E42" s="428">
        <v>1000</v>
      </c>
    </row>
    <row r="43" spans="1:5" ht="12.75">
      <c r="A43" s="83" t="s">
        <v>101</v>
      </c>
      <c r="B43" s="22" t="s">
        <v>213</v>
      </c>
      <c r="C43" s="136">
        <v>1973</v>
      </c>
      <c r="D43" s="428">
        <v>1973</v>
      </c>
      <c r="E43" s="428">
        <v>1973</v>
      </c>
    </row>
    <row r="44" spans="1:5" ht="12.75">
      <c r="A44" s="83" t="s">
        <v>101</v>
      </c>
      <c r="B44" s="22" t="s">
        <v>215</v>
      </c>
      <c r="C44" s="136">
        <v>660</v>
      </c>
      <c r="D44" s="428">
        <v>660</v>
      </c>
      <c r="E44" s="428">
        <v>660</v>
      </c>
    </row>
    <row r="45" spans="1:5" ht="12.75">
      <c r="A45" s="83" t="s">
        <v>216</v>
      </c>
      <c r="B45" s="22" t="s">
        <v>217</v>
      </c>
      <c r="C45" s="136">
        <v>2000</v>
      </c>
      <c r="D45" s="428">
        <v>0</v>
      </c>
      <c r="E45" s="428">
        <v>0</v>
      </c>
    </row>
    <row r="46" spans="1:5" ht="12.75">
      <c r="A46" s="83" t="s">
        <v>101</v>
      </c>
      <c r="B46" s="22" t="s">
        <v>219</v>
      </c>
      <c r="C46" s="136">
        <v>300</v>
      </c>
      <c r="D46" s="428">
        <v>300</v>
      </c>
      <c r="E46" s="428">
        <v>300</v>
      </c>
    </row>
    <row r="47" spans="1:5" ht="12.75" customHeight="1">
      <c r="A47" s="83" t="s">
        <v>103</v>
      </c>
      <c r="B47" s="22" t="s">
        <v>512</v>
      </c>
      <c r="C47" s="136">
        <v>4500</v>
      </c>
      <c r="D47" s="428">
        <v>4500</v>
      </c>
      <c r="E47" s="428">
        <v>4500</v>
      </c>
    </row>
    <row r="48" spans="1:5" ht="25.5">
      <c r="A48" s="83" t="s">
        <v>103</v>
      </c>
      <c r="B48" s="22" t="s">
        <v>789</v>
      </c>
      <c r="C48" s="136">
        <v>39726</v>
      </c>
      <c r="D48" s="428">
        <v>41272</v>
      </c>
      <c r="E48" s="428">
        <v>41272</v>
      </c>
    </row>
    <row r="49" spans="1:5" ht="12.75">
      <c r="A49" s="83" t="s">
        <v>17</v>
      </c>
      <c r="B49" s="22" t="s">
        <v>513</v>
      </c>
      <c r="C49" s="136">
        <v>29000</v>
      </c>
      <c r="D49" s="428">
        <v>0</v>
      </c>
      <c r="E49" s="428">
        <v>0</v>
      </c>
    </row>
    <row r="50" spans="1:5" ht="12.75">
      <c r="A50" s="83" t="s">
        <v>103</v>
      </c>
      <c r="B50" s="22" t="s">
        <v>223</v>
      </c>
      <c r="C50" s="136">
        <v>1000</v>
      </c>
      <c r="D50" s="428">
        <v>1000</v>
      </c>
      <c r="E50" s="428">
        <v>0</v>
      </c>
    </row>
    <row r="51" spans="1:5" ht="12.75">
      <c r="A51" s="83" t="s">
        <v>101</v>
      </c>
      <c r="B51" s="22" t="s">
        <v>554</v>
      </c>
      <c r="C51" s="136">
        <v>3000</v>
      </c>
      <c r="D51" s="428">
        <v>3000</v>
      </c>
      <c r="E51" s="428">
        <v>3000</v>
      </c>
    </row>
    <row r="52" spans="1:5" ht="12.75">
      <c r="A52" s="83" t="s">
        <v>101</v>
      </c>
      <c r="B52" s="22" t="s">
        <v>555</v>
      </c>
      <c r="C52" s="136">
        <v>2500</v>
      </c>
      <c r="D52" s="428">
        <v>2500</v>
      </c>
      <c r="E52" s="428">
        <v>2500</v>
      </c>
    </row>
    <row r="53" spans="1:5" ht="12.75">
      <c r="A53" s="83" t="s">
        <v>101</v>
      </c>
      <c r="B53" s="22" t="s">
        <v>556</v>
      </c>
      <c r="C53" s="136">
        <v>500</v>
      </c>
      <c r="D53" s="428">
        <v>500</v>
      </c>
      <c r="E53" s="428">
        <v>500</v>
      </c>
    </row>
    <row r="54" spans="1:5" ht="12.75">
      <c r="A54" s="83" t="s">
        <v>101</v>
      </c>
      <c r="B54" s="22" t="s">
        <v>126</v>
      </c>
      <c r="C54" s="136">
        <v>300</v>
      </c>
      <c r="D54" s="428">
        <v>0</v>
      </c>
      <c r="E54" s="428">
        <v>0</v>
      </c>
    </row>
    <row r="55" spans="1:5" ht="25.5">
      <c r="A55" s="83" t="s">
        <v>101</v>
      </c>
      <c r="B55" s="22" t="s">
        <v>515</v>
      </c>
      <c r="C55" s="136">
        <v>15000</v>
      </c>
      <c r="D55" s="428">
        <v>15000</v>
      </c>
      <c r="E55" s="428">
        <v>15000</v>
      </c>
    </row>
    <row r="56" spans="1:5" ht="12.75">
      <c r="A56" s="83" t="s">
        <v>101</v>
      </c>
      <c r="B56" s="22" t="s">
        <v>471</v>
      </c>
      <c r="C56" s="136">
        <v>150</v>
      </c>
      <c r="D56" s="428">
        <v>150</v>
      </c>
      <c r="E56" s="428">
        <v>150</v>
      </c>
    </row>
    <row r="57" spans="1:5" ht="12.75">
      <c r="A57" s="83" t="s">
        <v>101</v>
      </c>
      <c r="B57" s="22" t="s">
        <v>788</v>
      </c>
      <c r="C57" s="136">
        <v>600</v>
      </c>
      <c r="D57" s="428">
        <v>600</v>
      </c>
      <c r="E57" s="428">
        <v>600</v>
      </c>
    </row>
    <row r="58" spans="1:5" ht="12.75">
      <c r="A58" s="83" t="s">
        <v>104</v>
      </c>
      <c r="B58" s="22" t="s">
        <v>472</v>
      </c>
      <c r="C58" s="136">
        <v>500</v>
      </c>
      <c r="D58" s="428">
        <v>500</v>
      </c>
      <c r="E58" s="428">
        <v>0</v>
      </c>
    </row>
    <row r="59" spans="1:5" ht="12.75">
      <c r="A59" s="83" t="s">
        <v>104</v>
      </c>
      <c r="B59" s="22" t="s">
        <v>473</v>
      </c>
      <c r="C59" s="136">
        <v>600</v>
      </c>
      <c r="D59" s="428">
        <v>0</v>
      </c>
      <c r="E59" s="428">
        <v>0</v>
      </c>
    </row>
    <row r="60" spans="1:5" ht="12.75">
      <c r="A60" s="83"/>
      <c r="B60" s="22" t="s">
        <v>680</v>
      </c>
      <c r="C60" s="136"/>
      <c r="D60" s="428">
        <v>500</v>
      </c>
      <c r="E60" s="428">
        <v>500</v>
      </c>
    </row>
    <row r="61" spans="1:5" ht="12.75">
      <c r="A61" s="83"/>
      <c r="B61" s="22" t="s">
        <v>723</v>
      </c>
      <c r="C61" s="136"/>
      <c r="D61" s="428">
        <v>200</v>
      </c>
      <c r="E61" s="428">
        <v>200</v>
      </c>
    </row>
    <row r="62" spans="1:5" ht="12.75">
      <c r="A62" s="83"/>
      <c r="B62" s="22" t="s">
        <v>724</v>
      </c>
      <c r="C62" s="136"/>
      <c r="D62" s="428">
        <v>500</v>
      </c>
      <c r="E62" s="428">
        <v>500</v>
      </c>
    </row>
    <row r="63" spans="1:5" ht="12.75">
      <c r="A63" s="83"/>
      <c r="B63" s="22" t="s">
        <v>725</v>
      </c>
      <c r="C63" s="136"/>
      <c r="D63" s="428">
        <v>500</v>
      </c>
      <c r="E63" s="428">
        <v>500</v>
      </c>
    </row>
    <row r="64" spans="1:5" ht="12.75">
      <c r="A64" s="83"/>
      <c r="B64" s="22" t="s">
        <v>790</v>
      </c>
      <c r="C64" s="136"/>
      <c r="D64" s="428">
        <v>170</v>
      </c>
      <c r="E64" s="428">
        <v>170</v>
      </c>
    </row>
    <row r="65" spans="1:5" ht="12.75">
      <c r="A65" s="83"/>
      <c r="B65" s="22" t="s">
        <v>647</v>
      </c>
      <c r="C65" s="136"/>
      <c r="D65" s="428"/>
      <c r="E65" s="428"/>
    </row>
    <row r="66" spans="1:5" ht="12.75">
      <c r="A66" s="83"/>
      <c r="B66" s="299" t="s">
        <v>776</v>
      </c>
      <c r="C66" s="136"/>
      <c r="D66" s="428">
        <v>1000</v>
      </c>
      <c r="E66" s="428">
        <v>1000</v>
      </c>
    </row>
    <row r="67" spans="1:5" ht="12.75">
      <c r="A67" s="83"/>
      <c r="B67" s="299" t="s">
        <v>783</v>
      </c>
      <c r="C67" s="136"/>
      <c r="D67" s="428">
        <v>150</v>
      </c>
      <c r="E67" s="428">
        <v>150</v>
      </c>
    </row>
    <row r="68" spans="1:5" ht="12.75">
      <c r="A68" s="83"/>
      <c r="B68" s="299" t="s">
        <v>777</v>
      </c>
      <c r="C68" s="136"/>
      <c r="D68" s="428">
        <v>100</v>
      </c>
      <c r="E68" s="428">
        <v>100</v>
      </c>
    </row>
    <row r="69" spans="1:5" ht="12.75">
      <c r="A69" s="83"/>
      <c r="B69" s="299" t="s">
        <v>778</v>
      </c>
      <c r="C69" s="136"/>
      <c r="D69" s="428">
        <v>500</v>
      </c>
      <c r="E69" s="428">
        <v>500</v>
      </c>
    </row>
    <row r="70" spans="1:5" ht="12.75">
      <c r="A70" s="83"/>
      <c r="B70" s="299" t="s">
        <v>779</v>
      </c>
      <c r="C70" s="136"/>
      <c r="D70" s="428">
        <v>50</v>
      </c>
      <c r="E70" s="428">
        <v>50</v>
      </c>
    </row>
    <row r="71" spans="1:5" ht="12.75">
      <c r="A71" s="83"/>
      <c r="B71" s="299" t="s">
        <v>780</v>
      </c>
      <c r="C71" s="136"/>
      <c r="D71" s="428">
        <v>45</v>
      </c>
      <c r="E71" s="428">
        <v>45</v>
      </c>
    </row>
    <row r="72" spans="1:5" ht="12.75">
      <c r="A72" s="83"/>
      <c r="B72" s="299" t="s">
        <v>781</v>
      </c>
      <c r="C72" s="136"/>
      <c r="D72" s="428">
        <v>300</v>
      </c>
      <c r="E72" s="428">
        <v>300</v>
      </c>
    </row>
    <row r="73" spans="1:5" ht="12.75">
      <c r="A73" s="83"/>
      <c r="B73" s="299" t="s">
        <v>791</v>
      </c>
      <c r="C73" s="136"/>
      <c r="D73" s="428">
        <v>250</v>
      </c>
      <c r="E73" s="428">
        <v>250</v>
      </c>
    </row>
    <row r="74" spans="1:5" s="33" customFormat="1" ht="13.5">
      <c r="A74" s="84"/>
      <c r="B74" s="32" t="s">
        <v>158</v>
      </c>
      <c r="C74" s="138">
        <f>SUM(C9,C19)</f>
        <v>867928</v>
      </c>
      <c r="D74" s="432">
        <f>SUM(D9,D19)</f>
        <v>915046</v>
      </c>
      <c r="E74" s="432">
        <f>SUM(E9,E19)</f>
        <v>896366</v>
      </c>
    </row>
    <row r="75" spans="2:5" ht="12.75">
      <c r="B75" s="22"/>
      <c r="C75" s="136"/>
      <c r="D75" s="333"/>
      <c r="E75" s="333"/>
    </row>
    <row r="76" spans="2:5" ht="12.75">
      <c r="B76" s="26" t="s">
        <v>154</v>
      </c>
      <c r="C76" s="137">
        <f>SUM(C77:C77)</f>
        <v>11000</v>
      </c>
      <c r="D76" s="430">
        <f>SUM(D77:D77)</f>
        <v>8135</v>
      </c>
      <c r="E76" s="430">
        <f>SUM(E77:E77)</f>
        <v>8135</v>
      </c>
    </row>
    <row r="77" spans="1:5" s="23" customFormat="1" ht="12.75">
      <c r="A77" s="87" t="s">
        <v>17</v>
      </c>
      <c r="B77" s="22" t="s">
        <v>516</v>
      </c>
      <c r="C77" s="136">
        <v>11000</v>
      </c>
      <c r="D77" s="428">
        <v>8135</v>
      </c>
      <c r="E77" s="428">
        <v>8135</v>
      </c>
    </row>
    <row r="78" spans="2:5" ht="12.75">
      <c r="B78" s="22"/>
      <c r="C78" s="136"/>
      <c r="D78" s="333"/>
      <c r="E78" s="333"/>
    </row>
    <row r="79" spans="1:5" s="25" customFormat="1" ht="12.75">
      <c r="A79" s="86"/>
      <c r="B79" s="26" t="s">
        <v>156</v>
      </c>
      <c r="C79" s="137">
        <f>SUM(C80:C82)</f>
        <v>30220</v>
      </c>
      <c r="D79" s="430">
        <f>SUM(D80:D82)</f>
        <v>30220</v>
      </c>
      <c r="E79" s="430">
        <f>SUM(E80:E82)</f>
        <v>29821</v>
      </c>
    </row>
    <row r="80" spans="1:5" ht="12.75">
      <c r="A80" s="83" t="s">
        <v>101</v>
      </c>
      <c r="B80" s="22" t="s">
        <v>214</v>
      </c>
      <c r="C80" s="136">
        <v>2000</v>
      </c>
      <c r="D80" s="428">
        <v>2000</v>
      </c>
      <c r="E80" s="428">
        <v>2000</v>
      </c>
    </row>
    <row r="81" spans="1:5" ht="25.5">
      <c r="A81" s="83" t="s">
        <v>101</v>
      </c>
      <c r="B81" s="22" t="s">
        <v>474</v>
      </c>
      <c r="C81" s="136">
        <v>21720</v>
      </c>
      <c r="D81" s="428">
        <v>21720</v>
      </c>
      <c r="E81" s="428">
        <v>21321</v>
      </c>
    </row>
    <row r="82" spans="1:5" ht="12.75">
      <c r="A82" s="83" t="s">
        <v>48</v>
      </c>
      <c r="B82" s="22" t="s">
        <v>529</v>
      </c>
      <c r="C82" s="136">
        <v>6500</v>
      </c>
      <c r="D82" s="428">
        <v>6500</v>
      </c>
      <c r="E82" s="428">
        <v>6500</v>
      </c>
    </row>
    <row r="83" spans="2:5" ht="12.75">
      <c r="B83" s="22"/>
      <c r="C83" s="136"/>
      <c r="D83" s="333"/>
      <c r="E83" s="333"/>
    </row>
    <row r="84" spans="1:5" s="33" customFormat="1" ht="13.5">
      <c r="A84" s="84"/>
      <c r="B84" s="32" t="s">
        <v>159</v>
      </c>
      <c r="C84" s="138">
        <f>SUM(C79,C76)</f>
        <v>41220</v>
      </c>
      <c r="D84" s="432">
        <f>SUM(D79,D76)</f>
        <v>38355</v>
      </c>
      <c r="E84" s="432">
        <f>SUM(E79,E76)</f>
        <v>37956</v>
      </c>
    </row>
    <row r="85" spans="2:5" ht="12.75">
      <c r="B85" s="22"/>
      <c r="C85" s="136"/>
      <c r="D85" s="333"/>
      <c r="E85" s="333"/>
    </row>
    <row r="86" spans="1:5" s="35" customFormat="1" ht="12.75">
      <c r="A86" s="90"/>
      <c r="B86" s="34" t="s">
        <v>160</v>
      </c>
      <c r="C86" s="145">
        <f>SUM(C74,C84)</f>
        <v>909148</v>
      </c>
      <c r="D86" s="431">
        <f>SUM(D74,D84)</f>
        <v>953401</v>
      </c>
      <c r="E86" s="431">
        <f>SUM(E74,E84)</f>
        <v>934322</v>
      </c>
    </row>
    <row r="87" spans="2:5" ht="12.75">
      <c r="B87" s="22"/>
      <c r="C87" s="136"/>
      <c r="D87" s="333"/>
      <c r="E87" s="333"/>
    </row>
    <row r="88" spans="1:5" s="25" customFormat="1" ht="12.75">
      <c r="A88" s="86"/>
      <c r="B88" s="26" t="s">
        <v>161</v>
      </c>
      <c r="C88" s="137">
        <f>SUM(C89:C94)</f>
        <v>14462</v>
      </c>
      <c r="D88" s="430">
        <f>SUM(D89:D90)</f>
        <v>16462</v>
      </c>
      <c r="E88" s="430">
        <f>SUM(E89:E90)</f>
        <v>16462</v>
      </c>
    </row>
    <row r="89" spans="1:5" ht="25.5">
      <c r="A89" s="83" t="s">
        <v>56</v>
      </c>
      <c r="B89" s="22" t="s">
        <v>475</v>
      </c>
      <c r="C89" s="136">
        <v>14462</v>
      </c>
      <c r="D89" s="428">
        <v>14462</v>
      </c>
      <c r="E89" s="428">
        <v>14462</v>
      </c>
    </row>
    <row r="90" spans="1:5" ht="12.75">
      <c r="A90" s="83"/>
      <c r="B90" s="22" t="s">
        <v>172</v>
      </c>
      <c r="C90" s="136"/>
      <c r="D90" s="428">
        <v>2000</v>
      </c>
      <c r="E90" s="428">
        <v>2000</v>
      </c>
    </row>
    <row r="91" spans="1:5" ht="12.75">
      <c r="A91" s="83"/>
      <c r="B91" s="22"/>
      <c r="C91" s="136"/>
      <c r="D91" s="333"/>
      <c r="E91" s="333"/>
    </row>
    <row r="92" spans="1:5" ht="12.75">
      <c r="A92" s="83"/>
      <c r="B92" s="26" t="s">
        <v>793</v>
      </c>
      <c r="C92" s="136"/>
      <c r="D92" s="511">
        <f>SUM(D93)</f>
        <v>380</v>
      </c>
      <c r="E92" s="511">
        <f>SUM(E93)</f>
        <v>380</v>
      </c>
    </row>
    <row r="93" spans="1:5" ht="12.75">
      <c r="A93" s="83"/>
      <c r="B93" s="22" t="s">
        <v>698</v>
      </c>
      <c r="C93" s="136"/>
      <c r="D93" s="568">
        <v>380</v>
      </c>
      <c r="E93" s="568">
        <v>380</v>
      </c>
    </row>
    <row r="94" spans="2:5" ht="12.75">
      <c r="B94" s="22"/>
      <c r="C94" s="136"/>
      <c r="D94" s="333"/>
      <c r="E94" s="333"/>
    </row>
    <row r="95" spans="1:5" s="25" customFormat="1" ht="12" customHeight="1">
      <c r="A95" s="86"/>
      <c r="B95" s="26" t="s">
        <v>162</v>
      </c>
      <c r="C95" s="137">
        <f>SUM(C96:C105)</f>
        <v>179128</v>
      </c>
      <c r="D95" s="430">
        <f>SUM(D96:D110)</f>
        <v>204498</v>
      </c>
      <c r="E95" s="430">
        <f>SUM(E96:E110)</f>
        <v>165605</v>
      </c>
    </row>
    <row r="96" spans="1:5" ht="12.75">
      <c r="A96" s="83" t="s">
        <v>101</v>
      </c>
      <c r="B96" s="22" t="s">
        <v>476</v>
      </c>
      <c r="C96" s="136">
        <v>5000</v>
      </c>
      <c r="D96" s="428">
        <v>5000</v>
      </c>
      <c r="E96" s="428">
        <v>5000</v>
      </c>
    </row>
    <row r="97" spans="1:5" ht="12.75">
      <c r="A97" s="83" t="s">
        <v>101</v>
      </c>
      <c r="B97" s="22" t="s">
        <v>477</v>
      </c>
      <c r="C97" s="136">
        <v>10000</v>
      </c>
      <c r="D97" s="428">
        <v>250</v>
      </c>
      <c r="E97" s="428">
        <v>250</v>
      </c>
    </row>
    <row r="98" spans="1:5" ht="12.75">
      <c r="A98" s="83" t="s">
        <v>101</v>
      </c>
      <c r="B98" s="22" t="s">
        <v>483</v>
      </c>
      <c r="C98" s="136">
        <v>739</v>
      </c>
      <c r="D98" s="428">
        <v>0</v>
      </c>
      <c r="E98" s="428">
        <v>0</v>
      </c>
    </row>
    <row r="99" spans="1:5" ht="12.75">
      <c r="A99" s="83" t="s">
        <v>101</v>
      </c>
      <c r="B99" s="22" t="s">
        <v>221</v>
      </c>
      <c r="C99" s="136">
        <v>2314</v>
      </c>
      <c r="D99" s="428">
        <v>0</v>
      </c>
      <c r="E99" s="428">
        <v>0</v>
      </c>
    </row>
    <row r="100" spans="1:5" ht="12.75">
      <c r="A100" s="83" t="s">
        <v>101</v>
      </c>
      <c r="B100" s="22" t="s">
        <v>222</v>
      </c>
      <c r="C100" s="136">
        <v>3500</v>
      </c>
      <c r="D100" s="428">
        <v>0</v>
      </c>
      <c r="E100" s="428">
        <v>0</v>
      </c>
    </row>
    <row r="101" spans="1:5" ht="12.75">
      <c r="A101" s="83" t="s">
        <v>101</v>
      </c>
      <c r="B101" s="22" t="s">
        <v>100</v>
      </c>
      <c r="C101" s="136">
        <v>1575</v>
      </c>
      <c r="D101" s="428">
        <v>2000</v>
      </c>
      <c r="E101" s="428">
        <v>2000</v>
      </c>
    </row>
    <row r="102" spans="1:5" ht="12.75">
      <c r="A102" s="83" t="s">
        <v>101</v>
      </c>
      <c r="B102" s="22" t="s">
        <v>484</v>
      </c>
      <c r="C102" s="136">
        <v>1000</v>
      </c>
      <c r="D102" s="428">
        <v>2000</v>
      </c>
      <c r="E102" s="428">
        <v>2000</v>
      </c>
    </row>
    <row r="103" spans="1:5" ht="12.75">
      <c r="A103" s="83" t="s">
        <v>48</v>
      </c>
      <c r="B103" s="22" t="s">
        <v>50</v>
      </c>
      <c r="C103" s="136">
        <v>66000</v>
      </c>
      <c r="D103" s="428">
        <v>80700</v>
      </c>
      <c r="E103" s="428">
        <v>68000</v>
      </c>
    </row>
    <row r="104" spans="1:5" ht="12.75">
      <c r="A104" s="83" t="s">
        <v>48</v>
      </c>
      <c r="B104" s="22" t="s">
        <v>53</v>
      </c>
      <c r="C104" s="136">
        <v>83000</v>
      </c>
      <c r="D104" s="428">
        <v>83000</v>
      </c>
      <c r="E104" s="428">
        <v>60000</v>
      </c>
    </row>
    <row r="105" spans="1:5" ht="12.75">
      <c r="A105" s="83" t="s">
        <v>147</v>
      </c>
      <c r="B105" s="22" t="s">
        <v>699</v>
      </c>
      <c r="C105" s="136">
        <v>6000</v>
      </c>
      <c r="D105" s="428">
        <v>3147</v>
      </c>
      <c r="E105" s="428">
        <v>3147</v>
      </c>
    </row>
    <row r="106" spans="1:5" ht="12.75">
      <c r="A106" s="83"/>
      <c r="B106" s="22" t="s">
        <v>694</v>
      </c>
      <c r="C106" s="136"/>
      <c r="D106" s="428">
        <v>2500</v>
      </c>
      <c r="E106" s="428">
        <v>2500</v>
      </c>
    </row>
    <row r="107" spans="1:5" ht="12.75">
      <c r="A107" s="83"/>
      <c r="B107" s="22" t="s">
        <v>695</v>
      </c>
      <c r="C107" s="136"/>
      <c r="D107" s="428">
        <v>1</v>
      </c>
      <c r="E107" s="428">
        <v>1</v>
      </c>
    </row>
    <row r="108" spans="1:5" ht="12.75">
      <c r="A108" s="83"/>
      <c r="B108" s="22" t="s">
        <v>697</v>
      </c>
      <c r="C108" s="136"/>
      <c r="D108" s="428">
        <v>17406</v>
      </c>
      <c r="E108" s="428">
        <v>17407</v>
      </c>
    </row>
    <row r="109" spans="1:5" ht="12.75">
      <c r="A109" s="83"/>
      <c r="B109" s="22" t="s">
        <v>726</v>
      </c>
      <c r="C109" s="136"/>
      <c r="D109" s="428">
        <v>3194</v>
      </c>
      <c r="E109" s="428">
        <v>0</v>
      </c>
    </row>
    <row r="110" spans="1:5" ht="12.75">
      <c r="A110" s="83"/>
      <c r="B110" s="22" t="s">
        <v>220</v>
      </c>
      <c r="C110" s="136"/>
      <c r="D110" s="428">
        <v>5300</v>
      </c>
      <c r="E110" s="428">
        <v>5300</v>
      </c>
    </row>
    <row r="111" spans="2:5" ht="12.75">
      <c r="B111" s="22"/>
      <c r="C111" s="136"/>
      <c r="D111" s="333"/>
      <c r="E111" s="333"/>
    </row>
    <row r="112" spans="1:5" s="33" customFormat="1" ht="13.5">
      <c r="A112" s="84"/>
      <c r="B112" s="32" t="s">
        <v>163</v>
      </c>
      <c r="C112" s="138">
        <f>SUM(C88,C95)</f>
        <v>193590</v>
      </c>
      <c r="D112" s="432">
        <f>SUM(D88,D95)</f>
        <v>220960</v>
      </c>
      <c r="E112" s="432">
        <f>SUM(E88,E95)</f>
        <v>182067</v>
      </c>
    </row>
    <row r="113" spans="1:5" s="21" customFormat="1" ht="12.75">
      <c r="A113" s="82"/>
      <c r="B113" s="26"/>
      <c r="C113" s="137"/>
      <c r="D113" s="335"/>
      <c r="E113" s="335"/>
    </row>
    <row r="114" spans="1:5" s="21" customFormat="1" ht="12.75">
      <c r="A114" s="82"/>
      <c r="B114" s="26" t="s">
        <v>696</v>
      </c>
      <c r="C114" s="137"/>
      <c r="D114" s="430">
        <f>SUM(D115:D118)</f>
        <v>28606</v>
      </c>
      <c r="E114" s="430">
        <f>SUM(E115:E118)</f>
        <v>28606</v>
      </c>
    </row>
    <row r="115" spans="1:5" s="23" customFormat="1" ht="12.75">
      <c r="A115" s="87"/>
      <c r="B115" s="22" t="s">
        <v>697</v>
      </c>
      <c r="C115" s="136"/>
      <c r="D115" s="428">
        <v>12770</v>
      </c>
      <c r="E115" s="428">
        <v>12770</v>
      </c>
    </row>
    <row r="116" spans="1:5" s="23" customFormat="1" ht="12.75">
      <c r="A116" s="87"/>
      <c r="B116" s="211" t="s">
        <v>698</v>
      </c>
      <c r="C116" s="212"/>
      <c r="D116" s="428">
        <v>0</v>
      </c>
      <c r="E116" s="428">
        <v>0</v>
      </c>
    </row>
    <row r="117" spans="1:5" s="23" customFormat="1" ht="12.75">
      <c r="A117" s="87"/>
      <c r="B117" s="211" t="s">
        <v>727</v>
      </c>
      <c r="C117" s="212"/>
      <c r="D117" s="428">
        <v>15636</v>
      </c>
      <c r="E117" s="428">
        <v>15636</v>
      </c>
    </row>
    <row r="118" spans="1:5" s="23" customFormat="1" ht="12.75">
      <c r="A118" s="87"/>
      <c r="B118" s="211" t="s">
        <v>792</v>
      </c>
      <c r="C118" s="212"/>
      <c r="D118" s="428">
        <v>200</v>
      </c>
      <c r="E118" s="428">
        <v>200</v>
      </c>
    </row>
    <row r="119" spans="1:5" s="35" customFormat="1" ht="13.5">
      <c r="A119" s="90"/>
      <c r="B119" s="357" t="s">
        <v>794</v>
      </c>
      <c r="C119" s="358">
        <f>SUM(C114)</f>
        <v>0</v>
      </c>
      <c r="D119" s="513">
        <f>SUM(D114+D92)</f>
        <v>28986</v>
      </c>
      <c r="E119" s="513">
        <f>SUM(E114+E92)</f>
        <v>28986</v>
      </c>
    </row>
    <row r="120" spans="1:5" s="35" customFormat="1" ht="12.75">
      <c r="A120" s="90"/>
      <c r="B120" s="34"/>
      <c r="C120" s="213"/>
      <c r="D120" s="334"/>
      <c r="E120" s="334"/>
    </row>
    <row r="121" spans="1:5" s="35" customFormat="1" ht="12.75">
      <c r="A121" s="90"/>
      <c r="B121" s="34" t="s">
        <v>165</v>
      </c>
      <c r="C121" s="424">
        <f>SUM(C112+C114)</f>
        <v>193590</v>
      </c>
      <c r="D121" s="431">
        <f>SUM(D112+D119)</f>
        <v>249946</v>
      </c>
      <c r="E121" s="431">
        <f>SUM(E112+E119)</f>
        <v>211053</v>
      </c>
    </row>
    <row r="122" spans="1:5" s="25" customFormat="1" ht="29.25" customHeight="1" thickBot="1">
      <c r="A122" s="86"/>
      <c r="B122" s="57" t="s">
        <v>248</v>
      </c>
      <c r="C122" s="146">
        <f>SUM(C86,C112)</f>
        <v>1102738</v>
      </c>
      <c r="D122" s="434">
        <f>SUM(D86,D112,D119)</f>
        <v>1203347</v>
      </c>
      <c r="E122" s="434">
        <f>SUM(E86,E112,E119)</f>
        <v>1145375</v>
      </c>
    </row>
    <row r="123" spans="1:3" s="56" customFormat="1" ht="21.75" customHeight="1" thickBot="1">
      <c r="A123" s="91"/>
      <c r="B123" s="73"/>
      <c r="C123" s="74"/>
    </row>
    <row r="124" spans="2:5" ht="15.75" customHeight="1">
      <c r="B124" s="29" t="s">
        <v>166</v>
      </c>
      <c r="C124" s="139" t="s">
        <v>4</v>
      </c>
      <c r="D124" s="274" t="s">
        <v>976</v>
      </c>
      <c r="E124" s="274" t="s">
        <v>1032</v>
      </c>
    </row>
    <row r="125" spans="2:5" ht="12.75">
      <c r="B125" s="26" t="s">
        <v>728</v>
      </c>
      <c r="C125" s="136"/>
      <c r="D125" s="511">
        <f>SUM(D126)</f>
        <v>230</v>
      </c>
      <c r="E125" s="511">
        <f>SUM(E126)</f>
        <v>229</v>
      </c>
    </row>
    <row r="126" spans="2:5" ht="12.75">
      <c r="B126" s="22" t="s">
        <v>729</v>
      </c>
      <c r="C126" s="136"/>
      <c r="D126" s="428">
        <v>230</v>
      </c>
      <c r="E126" s="428">
        <v>229</v>
      </c>
    </row>
    <row r="127" spans="2:5" ht="12.75">
      <c r="B127" s="26" t="s">
        <v>164</v>
      </c>
      <c r="C127" s="137">
        <f>SUM(C128:C128)</f>
        <v>1000</v>
      </c>
      <c r="D127" s="430">
        <f>SUM(D128:D128)</f>
        <v>1000</v>
      </c>
      <c r="E127" s="430">
        <f>SUM(E128:E128)</f>
        <v>600</v>
      </c>
    </row>
    <row r="128" spans="2:5" ht="12.75">
      <c r="B128" s="22" t="s">
        <v>225</v>
      </c>
      <c r="C128" s="136">
        <v>1000</v>
      </c>
      <c r="D128" s="428">
        <v>1000</v>
      </c>
      <c r="E128" s="428">
        <v>600</v>
      </c>
    </row>
    <row r="129" spans="2:5" ht="30.75" customHeight="1" thickBot="1">
      <c r="B129" s="57" t="s">
        <v>249</v>
      </c>
      <c r="C129" s="146">
        <f>SUM(C127)</f>
        <v>1000</v>
      </c>
      <c r="D129" s="512">
        <f>SUM(D127+D125)</f>
        <v>1230</v>
      </c>
      <c r="E129" s="512">
        <f>SUM(E127+E125)</f>
        <v>829</v>
      </c>
    </row>
    <row r="130" spans="2:3" ht="30.75" customHeight="1">
      <c r="B130" s="92"/>
      <c r="C130" s="93"/>
    </row>
    <row r="131" ht="12.75" hidden="1">
      <c r="A131" s="85" t="s">
        <v>106</v>
      </c>
    </row>
    <row r="132" spans="1:2" ht="12.75" hidden="1">
      <c r="A132" s="83" t="s">
        <v>101</v>
      </c>
      <c r="B132" s="30">
        <f aca="true" t="shared" si="0" ref="B132:B140">SUMIF($A$10:$C$82,A132,$C$10:$C$82)</f>
        <v>224650</v>
      </c>
    </row>
    <row r="133" spans="1:2" ht="12.75" hidden="1">
      <c r="A133" s="83" t="s">
        <v>17</v>
      </c>
      <c r="B133" s="30">
        <f t="shared" si="0"/>
        <v>361405</v>
      </c>
    </row>
    <row r="134" spans="1:2" ht="12.75" hidden="1">
      <c r="A134" s="83" t="s">
        <v>216</v>
      </c>
      <c r="B134" s="30">
        <f t="shared" si="0"/>
        <v>2000</v>
      </c>
    </row>
    <row r="135" spans="1:2" ht="12.75" hidden="1">
      <c r="A135" s="83" t="s">
        <v>102</v>
      </c>
      <c r="B135" s="30">
        <f t="shared" si="0"/>
        <v>2400</v>
      </c>
    </row>
    <row r="136" spans="1:2" ht="12.75" hidden="1">
      <c r="A136" s="83" t="s">
        <v>103</v>
      </c>
      <c r="B136" s="30">
        <f t="shared" si="0"/>
        <v>50966</v>
      </c>
    </row>
    <row r="137" spans="1:2" ht="12.75" hidden="1">
      <c r="A137" s="83" t="s">
        <v>104</v>
      </c>
      <c r="B137" s="30">
        <f t="shared" si="0"/>
        <v>5100</v>
      </c>
    </row>
    <row r="138" spans="1:2" ht="12.75" hidden="1">
      <c r="A138" s="83" t="s">
        <v>105</v>
      </c>
      <c r="B138" s="30">
        <f t="shared" si="0"/>
        <v>113745</v>
      </c>
    </row>
    <row r="139" spans="1:2" ht="12.75" hidden="1">
      <c r="A139" s="83" t="s">
        <v>147</v>
      </c>
      <c r="B139" s="30">
        <f t="shared" si="0"/>
        <v>142382</v>
      </c>
    </row>
    <row r="140" spans="1:2" ht="12.75" hidden="1">
      <c r="A140" s="83" t="s">
        <v>48</v>
      </c>
      <c r="B140" s="30">
        <f t="shared" si="0"/>
        <v>6500</v>
      </c>
    </row>
    <row r="141" ht="12.75" hidden="1">
      <c r="B141" s="30">
        <f>SUM(B132:B140)</f>
        <v>909148</v>
      </c>
    </row>
    <row r="142" ht="12.75" hidden="1"/>
    <row r="143" ht="12.75" hidden="1">
      <c r="A143" s="85" t="s">
        <v>107</v>
      </c>
    </row>
    <row r="144" spans="1:2" ht="12.75" hidden="1">
      <c r="A144" s="83" t="s">
        <v>101</v>
      </c>
      <c r="B144" s="94">
        <f>SUMIF($A$89:$C$115,A144,$C$89:$C$112)</f>
        <v>24128</v>
      </c>
    </row>
    <row r="145" spans="1:2" ht="12.75" hidden="1">
      <c r="A145" s="83" t="s">
        <v>56</v>
      </c>
      <c r="B145" s="94">
        <f>SUMIF($A$89:$C$115,A145,$C$89:$C$112)</f>
        <v>14462</v>
      </c>
    </row>
    <row r="146" spans="1:2" ht="12.75" hidden="1">
      <c r="A146" s="83" t="s">
        <v>48</v>
      </c>
      <c r="B146" s="94">
        <f>SUMIF($A$89:$C$115,A146,$C$89:$C$112)</f>
        <v>149000</v>
      </c>
    </row>
    <row r="147" spans="1:2" ht="12.75" hidden="1">
      <c r="A147" s="83" t="s">
        <v>147</v>
      </c>
      <c r="B147" s="94">
        <f>SUMIF($A$89:$C$115,A147,$C$89:$C$112)</f>
        <v>6000</v>
      </c>
    </row>
    <row r="148" ht="12.75" hidden="1">
      <c r="B148" s="94">
        <f>SUM(B144:B147)</f>
        <v>193590</v>
      </c>
    </row>
  </sheetData>
  <sheetProtection/>
  <mergeCells count="2">
    <mergeCell ref="B2:E2"/>
    <mergeCell ref="B3:E3"/>
  </mergeCells>
  <printOptions horizontalCentered="1"/>
  <pageMargins left="0.4724409448818898" right="0.2362204724409449" top="1.141732283464567" bottom="0.7874015748031497" header="0.5118110236220472" footer="0.3937007874015748"/>
  <pageSetup fitToHeight="0" fitToWidth="1" horizontalDpi="600" verticalDpi="600" orientation="portrait" paperSize="9" scale="74" r:id="rId1"/>
  <headerFooter alignWithMargins="0">
    <oddHeader>&amp;L11. melléklet a 16/2016.(V.26.)   önkormányzati rendelethez
</oddHeader>
  </headerFooter>
  <rowBreaks count="2" manualBreakCount="2">
    <brk id="64" min="1" max="5" man="1"/>
    <brk id="129" min="1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4"/>
  <sheetViews>
    <sheetView view="pageBreakPreview" zoomScaleSheetLayoutView="100" workbookViewId="0" topLeftCell="A4">
      <selection activeCell="D134" sqref="D134"/>
    </sheetView>
  </sheetViews>
  <sheetFormatPr defaultColWidth="9.00390625" defaultRowHeight="12.75"/>
  <cols>
    <col min="1" max="1" width="94.75390625" style="28" customWidth="1"/>
    <col min="2" max="2" width="12.25390625" style="20" customWidth="1"/>
    <col min="3" max="4" width="11.75390625" style="429" customWidth="1"/>
    <col min="5" max="5" width="3.00390625" style="19" customWidth="1"/>
    <col min="6" max="16384" width="9.125" style="19" customWidth="1"/>
  </cols>
  <sheetData>
    <row r="1" spans="1:2" ht="7.5" customHeight="1">
      <c r="A1" s="92"/>
      <c r="B1" s="364"/>
    </row>
    <row r="2" spans="1:4" ht="30.75" customHeight="1">
      <c r="A2" s="1225" t="s">
        <v>30</v>
      </c>
      <c r="B2" s="1225"/>
      <c r="C2" s="1225"/>
      <c r="D2" s="1225"/>
    </row>
    <row r="3" spans="1:4" ht="14.25" customHeight="1">
      <c r="A3" s="1226" t="s">
        <v>16</v>
      </c>
      <c r="B3" s="1226"/>
      <c r="C3" s="1226"/>
      <c r="D3" s="1226"/>
    </row>
    <row r="4" spans="1:2" ht="9" customHeight="1" thickBot="1">
      <c r="A4" s="140"/>
      <c r="B4" s="27"/>
    </row>
    <row r="5" spans="1:4" ht="15.75" customHeight="1">
      <c r="A5" s="29" t="s">
        <v>621</v>
      </c>
      <c r="B5" s="139" t="s">
        <v>4</v>
      </c>
      <c r="C5" s="274" t="s">
        <v>976</v>
      </c>
      <c r="D5" s="274" t="s">
        <v>1032</v>
      </c>
    </row>
    <row r="6" spans="1:4" ht="12" customHeight="1">
      <c r="A6" s="22"/>
      <c r="B6" s="136"/>
      <c r="C6" s="428"/>
      <c r="D6" s="428"/>
    </row>
    <row r="7" spans="1:4" ht="12.75">
      <c r="A7" s="26" t="s">
        <v>150</v>
      </c>
      <c r="B7" s="137"/>
      <c r="C7" s="428"/>
      <c r="D7" s="428"/>
    </row>
    <row r="8" spans="1:4" ht="12" customHeight="1">
      <c r="A8" s="22"/>
      <c r="B8" s="136"/>
      <c r="C8" s="428"/>
      <c r="D8" s="428"/>
    </row>
    <row r="9" spans="1:4" s="25" customFormat="1" ht="12.75">
      <c r="A9" s="26" t="s">
        <v>238</v>
      </c>
      <c r="B9" s="137">
        <f>SUM(B10:B40)</f>
        <v>169578</v>
      </c>
      <c r="C9" s="430">
        <f>SUM(C10:C40)</f>
        <v>588724</v>
      </c>
      <c r="D9" s="430">
        <f>SUM(D10:D40)</f>
        <v>587747</v>
      </c>
    </row>
    <row r="10" spans="1:4" ht="12.75">
      <c r="A10" s="22" t="s">
        <v>399</v>
      </c>
      <c r="B10" s="136">
        <v>12248</v>
      </c>
      <c r="C10" s="428">
        <v>12248</v>
      </c>
      <c r="D10" s="428">
        <v>12248</v>
      </c>
    </row>
    <row r="11" spans="1:4" ht="12.75">
      <c r="A11" s="22" t="s">
        <v>240</v>
      </c>
      <c r="B11" s="136">
        <v>8000</v>
      </c>
      <c r="C11" s="428">
        <v>8000</v>
      </c>
      <c r="D11" s="428">
        <v>8000</v>
      </c>
    </row>
    <row r="12" spans="1:4" ht="12.75">
      <c r="A12" s="22" t="s">
        <v>452</v>
      </c>
      <c r="B12" s="136">
        <v>103000</v>
      </c>
      <c r="C12" s="428">
        <v>107345</v>
      </c>
      <c r="D12" s="428">
        <v>94845</v>
      </c>
    </row>
    <row r="13" spans="1:4" ht="12.75">
      <c r="A13" s="22" t="s">
        <v>243</v>
      </c>
      <c r="B13" s="136">
        <v>20500</v>
      </c>
      <c r="C13" s="428">
        <v>6910</v>
      </c>
      <c r="D13" s="428">
        <v>19410</v>
      </c>
    </row>
    <row r="14" spans="1:4" ht="12.75">
      <c r="A14" s="22" t="s">
        <v>256</v>
      </c>
      <c r="B14" s="136">
        <v>6572</v>
      </c>
      <c r="C14" s="428">
        <v>9054</v>
      </c>
      <c r="D14" s="428">
        <v>9054</v>
      </c>
    </row>
    <row r="15" spans="1:4" ht="12.75">
      <c r="A15" s="22" t="s">
        <v>250</v>
      </c>
      <c r="B15" s="136">
        <v>975</v>
      </c>
      <c r="C15" s="428">
        <v>975</v>
      </c>
      <c r="D15" s="428">
        <v>0</v>
      </c>
    </row>
    <row r="16" spans="1:4" ht="12.75">
      <c r="A16" s="22" t="s">
        <v>20</v>
      </c>
      <c r="B16" s="136">
        <v>18283</v>
      </c>
      <c r="C16" s="428">
        <v>18283</v>
      </c>
      <c r="D16" s="428">
        <v>18283</v>
      </c>
    </row>
    <row r="17" spans="1:4" ht="12.75">
      <c r="A17" s="22" t="s">
        <v>9</v>
      </c>
      <c r="B17" s="136"/>
      <c r="C17" s="428">
        <v>66802</v>
      </c>
      <c r="D17" s="428">
        <v>66802</v>
      </c>
    </row>
    <row r="18" spans="1:4" ht="12.75">
      <c r="A18" s="22" t="s">
        <v>701</v>
      </c>
      <c r="B18" s="136"/>
      <c r="C18" s="428">
        <v>6560</v>
      </c>
      <c r="D18" s="428">
        <v>6560</v>
      </c>
    </row>
    <row r="19" spans="1:4" ht="12.75">
      <c r="A19" s="22" t="s">
        <v>21</v>
      </c>
      <c r="B19" s="136"/>
      <c r="C19" s="428">
        <v>14767</v>
      </c>
      <c r="D19" s="428">
        <v>14767</v>
      </c>
    </row>
    <row r="20" spans="1:4" ht="12" customHeight="1">
      <c r="A20" s="22" t="s">
        <v>730</v>
      </c>
      <c r="B20" s="136"/>
      <c r="C20" s="428">
        <v>89762</v>
      </c>
      <c r="D20" s="428">
        <v>89762</v>
      </c>
    </row>
    <row r="21" spans="1:4" ht="12.75" customHeight="1">
      <c r="A21" s="22" t="s">
        <v>731</v>
      </c>
      <c r="B21" s="136"/>
      <c r="C21" s="428">
        <v>17007</v>
      </c>
      <c r="D21" s="428">
        <v>17007</v>
      </c>
    </row>
    <row r="22" spans="1:4" ht="25.5">
      <c r="A22" s="22" t="s">
        <v>8</v>
      </c>
      <c r="B22" s="136"/>
      <c r="C22" s="428">
        <v>16328</v>
      </c>
      <c r="D22" s="428">
        <v>16328</v>
      </c>
    </row>
    <row r="23" spans="1:4" ht="12.75">
      <c r="A23" s="22" t="s">
        <v>138</v>
      </c>
      <c r="B23" s="136"/>
      <c r="C23" s="428">
        <v>70105</v>
      </c>
      <c r="D23" s="428">
        <v>70105</v>
      </c>
    </row>
    <row r="24" spans="1:4" ht="12.75">
      <c r="A24" s="22" t="s">
        <v>10</v>
      </c>
      <c r="B24" s="136"/>
      <c r="C24" s="428">
        <v>19576</v>
      </c>
      <c r="D24" s="428">
        <v>19576</v>
      </c>
    </row>
    <row r="25" spans="1:4" ht="12.75">
      <c r="A25" s="22" t="s">
        <v>146</v>
      </c>
      <c r="B25" s="136"/>
      <c r="C25" s="428">
        <v>2582</v>
      </c>
      <c r="D25" s="428">
        <v>2582</v>
      </c>
    </row>
    <row r="26" spans="1:4" ht="12.75">
      <c r="A26" s="22" t="s">
        <v>146</v>
      </c>
      <c r="B26" s="136"/>
      <c r="C26" s="428">
        <v>456</v>
      </c>
      <c r="D26" s="428">
        <v>456</v>
      </c>
    </row>
    <row r="27" spans="1:4" ht="25.5">
      <c r="A27" s="22" t="s">
        <v>446</v>
      </c>
      <c r="B27" s="136"/>
      <c r="C27" s="428">
        <v>14420</v>
      </c>
      <c r="D27" s="428">
        <v>14420</v>
      </c>
    </row>
    <row r="28" spans="1:4" ht="12.75">
      <c r="A28" s="96" t="s">
        <v>7</v>
      </c>
      <c r="B28" s="174"/>
      <c r="C28" s="428">
        <v>14980</v>
      </c>
      <c r="D28" s="428">
        <v>14980</v>
      </c>
    </row>
    <row r="29" spans="1:4" ht="12.75">
      <c r="A29" s="96" t="s">
        <v>458</v>
      </c>
      <c r="B29" s="174"/>
      <c r="C29" s="428">
        <v>9502</v>
      </c>
      <c r="D29" s="428">
        <v>9502</v>
      </c>
    </row>
    <row r="30" spans="1:4" ht="12.75">
      <c r="A30" s="96" t="s">
        <v>795</v>
      </c>
      <c r="B30" s="174"/>
      <c r="C30" s="428">
        <v>1512</v>
      </c>
      <c r="D30" s="428">
        <v>1512</v>
      </c>
    </row>
    <row r="31" spans="1:4" ht="12.75">
      <c r="A31" s="96" t="s">
        <v>796</v>
      </c>
      <c r="B31" s="174"/>
      <c r="C31" s="428">
        <v>500</v>
      </c>
      <c r="D31" s="428">
        <v>500</v>
      </c>
    </row>
    <row r="32" spans="1:4" ht="12.75">
      <c r="A32" s="96" t="s">
        <v>797</v>
      </c>
      <c r="B32" s="174"/>
      <c r="C32" s="428">
        <v>300</v>
      </c>
      <c r="D32" s="428">
        <v>300</v>
      </c>
    </row>
    <row r="33" spans="1:4" ht="12.75">
      <c r="A33" s="96" t="s">
        <v>798</v>
      </c>
      <c r="B33" s="174"/>
      <c r="C33" s="428">
        <v>2344</v>
      </c>
      <c r="D33" s="428">
        <v>2344</v>
      </c>
    </row>
    <row r="34" spans="1:4" ht="12.75">
      <c r="A34" s="96" t="s">
        <v>984</v>
      </c>
      <c r="B34" s="174"/>
      <c r="C34" s="428">
        <v>8513</v>
      </c>
      <c r="D34" s="428">
        <v>8513</v>
      </c>
    </row>
    <row r="35" spans="1:4" ht="12.75">
      <c r="A35" s="22" t="s">
        <v>73</v>
      </c>
      <c r="B35" s="174"/>
      <c r="C35" s="428">
        <v>426</v>
      </c>
      <c r="D35" s="428">
        <v>426</v>
      </c>
    </row>
    <row r="36" spans="1:4" ht="12.75">
      <c r="A36" s="22" t="s">
        <v>137</v>
      </c>
      <c r="B36" s="174"/>
      <c r="C36" s="428">
        <v>64846</v>
      </c>
      <c r="D36" s="428">
        <v>64844</v>
      </c>
    </row>
    <row r="37" spans="1:4" ht="12.75">
      <c r="A37" s="96" t="s">
        <v>985</v>
      </c>
      <c r="B37" s="174"/>
      <c r="C37" s="428">
        <v>3000</v>
      </c>
      <c r="D37" s="428">
        <v>3000</v>
      </c>
    </row>
    <row r="38" spans="1:4" ht="12.75">
      <c r="A38" s="96" t="s">
        <v>986</v>
      </c>
      <c r="B38" s="174"/>
      <c r="C38" s="428">
        <v>575</v>
      </c>
      <c r="D38" s="428">
        <v>575</v>
      </c>
    </row>
    <row r="39" spans="1:4" ht="12.75">
      <c r="A39" s="96" t="s">
        <v>987</v>
      </c>
      <c r="B39" s="174"/>
      <c r="C39" s="428">
        <v>1046</v>
      </c>
      <c r="D39" s="428">
        <v>1046</v>
      </c>
    </row>
    <row r="40" spans="1:4" s="25" customFormat="1" ht="12.75">
      <c r="A40" s="96"/>
      <c r="B40" s="174"/>
      <c r="C40" s="430"/>
      <c r="D40" s="430"/>
    </row>
    <row r="41" spans="1:4" ht="12.75">
      <c r="A41" s="175" t="s">
        <v>702</v>
      </c>
      <c r="B41" s="176"/>
      <c r="C41" s="433">
        <f>SUM(C42)</f>
        <v>6490</v>
      </c>
      <c r="D41" s="433">
        <f>SUM(D42)</f>
        <v>6490</v>
      </c>
    </row>
    <row r="42" spans="1:4" ht="12.75">
      <c r="A42" s="96" t="s">
        <v>517</v>
      </c>
      <c r="B42" s="176"/>
      <c r="C42" s="428">
        <v>6490</v>
      </c>
      <c r="D42" s="428">
        <v>6490</v>
      </c>
    </row>
    <row r="43" spans="1:4" s="25" customFormat="1" ht="12.75">
      <c r="A43" s="96"/>
      <c r="B43" s="176"/>
      <c r="C43" s="430"/>
      <c r="D43" s="430"/>
    </row>
    <row r="44" spans="1:4" s="25" customFormat="1" ht="12.75">
      <c r="A44" s="175" t="s">
        <v>1028</v>
      </c>
      <c r="B44" s="176"/>
      <c r="C44" s="433">
        <f>SUM(C9,C41)</f>
        <v>595214</v>
      </c>
      <c r="D44" s="433">
        <f>SUM(D9,D41)</f>
        <v>594237</v>
      </c>
    </row>
    <row r="45" spans="1:4" s="25" customFormat="1" ht="12.75">
      <c r="A45" s="96"/>
      <c r="B45" s="176"/>
      <c r="C45" s="430"/>
      <c r="D45" s="430"/>
    </row>
    <row r="46" spans="1:4" s="25" customFormat="1" ht="12.75">
      <c r="A46" s="175" t="s">
        <v>707</v>
      </c>
      <c r="B46" s="176">
        <f>SUM(B47:B47)</f>
        <v>2700</v>
      </c>
      <c r="C46" s="433">
        <f>SUM(C47:C49)</f>
        <v>4529</v>
      </c>
      <c r="D46" s="433">
        <f>SUM(D47:D49)</f>
        <v>1829</v>
      </c>
    </row>
    <row r="47" spans="1:4" s="25" customFormat="1" ht="12.75">
      <c r="A47" s="96" t="s">
        <v>242</v>
      </c>
      <c r="B47" s="174">
        <v>2700</v>
      </c>
      <c r="C47" s="428">
        <v>2700</v>
      </c>
      <c r="D47" s="428">
        <v>0</v>
      </c>
    </row>
    <row r="48" spans="1:4" s="25" customFormat="1" ht="12.75">
      <c r="A48" s="96" t="s">
        <v>732</v>
      </c>
      <c r="B48" s="174"/>
      <c r="C48" s="428">
        <v>99</v>
      </c>
      <c r="D48" s="428">
        <v>99</v>
      </c>
    </row>
    <row r="49" spans="1:4" s="25" customFormat="1" ht="12.75">
      <c r="A49" s="96" t="s">
        <v>799</v>
      </c>
      <c r="B49" s="174"/>
      <c r="C49" s="428">
        <v>1730</v>
      </c>
      <c r="D49" s="428">
        <v>1730</v>
      </c>
    </row>
    <row r="50" spans="1:4" ht="12.75">
      <c r="A50" s="22"/>
      <c r="B50" s="136"/>
      <c r="C50" s="428"/>
      <c r="D50" s="428"/>
    </row>
    <row r="51" spans="1:4" s="25" customFormat="1" ht="12.75">
      <c r="A51" s="26" t="s">
        <v>226</v>
      </c>
      <c r="B51" s="137">
        <f>SUM(B52:B57)</f>
        <v>107209</v>
      </c>
      <c r="C51" s="430">
        <f>SUM(C52:C55)</f>
        <v>17000</v>
      </c>
      <c r="D51" s="430">
        <f>SUM(D52:D55)</f>
        <v>17000</v>
      </c>
    </row>
    <row r="52" spans="1:4" s="25" customFormat="1" ht="12.75">
      <c r="A52" s="22" t="s">
        <v>188</v>
      </c>
      <c r="B52" s="136">
        <v>72489</v>
      </c>
      <c r="C52" s="428">
        <v>15000</v>
      </c>
      <c r="D52" s="428">
        <v>15000</v>
      </c>
    </row>
    <row r="53" spans="1:4" s="25" customFormat="1" ht="12.75">
      <c r="A53" s="22" t="s">
        <v>253</v>
      </c>
      <c r="B53" s="136">
        <v>2000</v>
      </c>
      <c r="C53" s="428">
        <v>2000</v>
      </c>
      <c r="D53" s="428">
        <v>2000</v>
      </c>
    </row>
    <row r="54" spans="1:4" s="25" customFormat="1" ht="25.5">
      <c r="A54" s="22" t="s">
        <v>453</v>
      </c>
      <c r="B54" s="136">
        <v>21720</v>
      </c>
      <c r="C54" s="428">
        <v>0</v>
      </c>
      <c r="D54" s="428">
        <v>0</v>
      </c>
    </row>
    <row r="55" spans="1:4" s="25" customFormat="1" ht="12.75" customHeight="1">
      <c r="A55" s="22" t="s">
        <v>517</v>
      </c>
      <c r="B55" s="136">
        <v>11000</v>
      </c>
      <c r="C55" s="428">
        <v>0</v>
      </c>
      <c r="D55" s="428">
        <v>0</v>
      </c>
    </row>
    <row r="56" spans="1:4" s="25" customFormat="1" ht="25.5" customHeight="1">
      <c r="A56" s="26" t="s">
        <v>1027</v>
      </c>
      <c r="B56" s="136"/>
      <c r="C56" s="430">
        <f>SUM(C46,C51)</f>
        <v>21529</v>
      </c>
      <c r="D56" s="430">
        <f>SUM(D46,D51)</f>
        <v>18829</v>
      </c>
    </row>
    <row r="57" spans="1:4" s="25" customFormat="1" ht="12.75">
      <c r="A57" s="22"/>
      <c r="B57" s="136"/>
      <c r="C57" s="430"/>
      <c r="D57" s="430"/>
    </row>
    <row r="58" spans="1:4" s="25" customFormat="1" ht="12.75">
      <c r="A58" s="26" t="s">
        <v>237</v>
      </c>
      <c r="B58" s="137">
        <f>SUM(B59:B74)</f>
        <v>1588094</v>
      </c>
      <c r="C58" s="430">
        <f>SUM(C59:C75)</f>
        <v>1061141</v>
      </c>
      <c r="D58" s="430">
        <f>SUM(D59:D75)</f>
        <v>1031990</v>
      </c>
    </row>
    <row r="59" spans="1:4" s="25" customFormat="1" ht="12.75">
      <c r="A59" s="22" t="s">
        <v>7</v>
      </c>
      <c r="B59" s="136">
        <v>41138</v>
      </c>
      <c r="C59" s="428">
        <v>12763</v>
      </c>
      <c r="D59" s="428">
        <v>12763</v>
      </c>
    </row>
    <row r="60" spans="1:4" s="25" customFormat="1" ht="12.75">
      <c r="A60" s="22" t="s">
        <v>458</v>
      </c>
      <c r="B60" s="136">
        <v>40430</v>
      </c>
      <c r="C60" s="428">
        <v>45520</v>
      </c>
      <c r="D60" s="428">
        <v>45520</v>
      </c>
    </row>
    <row r="61" spans="1:4" s="25" customFormat="1" ht="12.75">
      <c r="A61" s="22" t="s">
        <v>730</v>
      </c>
      <c r="B61" s="136">
        <v>622234</v>
      </c>
      <c r="C61" s="428">
        <v>478099</v>
      </c>
      <c r="D61" s="428">
        <v>476279</v>
      </c>
    </row>
    <row r="62" spans="1:4" s="25" customFormat="1" ht="15.75" customHeight="1">
      <c r="A62" s="22" t="s">
        <v>731</v>
      </c>
      <c r="B62" s="136">
        <v>108756</v>
      </c>
      <c r="C62" s="428">
        <v>77058</v>
      </c>
      <c r="D62" s="428">
        <v>74827</v>
      </c>
    </row>
    <row r="63" spans="1:4" s="25" customFormat="1" ht="25.5">
      <c r="A63" s="22" t="s">
        <v>8</v>
      </c>
      <c r="B63" s="136">
        <v>27961</v>
      </c>
      <c r="C63" s="428">
        <v>21318</v>
      </c>
      <c r="D63" s="428">
        <v>21318</v>
      </c>
    </row>
    <row r="64" spans="1:4" s="25" customFormat="1" ht="25.5">
      <c r="A64" s="22" t="s">
        <v>459</v>
      </c>
      <c r="B64" s="136">
        <v>6498</v>
      </c>
      <c r="C64" s="428">
        <v>2413</v>
      </c>
      <c r="D64" s="428">
        <v>2413</v>
      </c>
    </row>
    <row r="65" spans="1:4" s="25" customFormat="1" ht="12.75">
      <c r="A65" s="22" t="s">
        <v>10</v>
      </c>
      <c r="B65" s="136">
        <v>64612</v>
      </c>
      <c r="C65" s="428">
        <v>45351</v>
      </c>
      <c r="D65" s="428">
        <v>45351</v>
      </c>
    </row>
    <row r="66" spans="1:4" s="25" customFormat="1" ht="12.75">
      <c r="A66" s="22" t="s">
        <v>73</v>
      </c>
      <c r="B66" s="136">
        <v>21960</v>
      </c>
      <c r="C66" s="428">
        <v>21534</v>
      </c>
      <c r="D66" s="428">
        <v>0</v>
      </c>
    </row>
    <row r="67" spans="1:4" s="25" customFormat="1" ht="12.75">
      <c r="A67" s="22" t="s">
        <v>9</v>
      </c>
      <c r="B67" s="136">
        <v>90625</v>
      </c>
      <c r="C67" s="428">
        <v>0</v>
      </c>
      <c r="D67" s="428">
        <v>0</v>
      </c>
    </row>
    <row r="68" spans="1:4" s="25" customFormat="1" ht="25.5">
      <c r="A68" s="22" t="s">
        <v>446</v>
      </c>
      <c r="B68" s="136">
        <v>17987</v>
      </c>
      <c r="C68" s="428">
        <v>3567</v>
      </c>
      <c r="D68" s="428">
        <v>0</v>
      </c>
    </row>
    <row r="69" spans="1:4" s="25" customFormat="1" ht="12.75">
      <c r="A69" s="22" t="s">
        <v>74</v>
      </c>
      <c r="B69" s="136">
        <v>35494</v>
      </c>
      <c r="C69" s="428">
        <v>23657</v>
      </c>
      <c r="D69" s="428">
        <v>23657</v>
      </c>
    </row>
    <row r="70" spans="1:4" s="25" customFormat="1" ht="12.75">
      <c r="A70" s="22" t="s">
        <v>21</v>
      </c>
      <c r="B70" s="136">
        <v>12000</v>
      </c>
      <c r="C70" s="428">
        <v>0</v>
      </c>
      <c r="D70" s="428">
        <v>0</v>
      </c>
    </row>
    <row r="71" spans="1:4" s="25" customFormat="1" ht="12.75">
      <c r="A71" s="22" t="s">
        <v>137</v>
      </c>
      <c r="B71" s="136">
        <v>267151</v>
      </c>
      <c r="C71" s="428">
        <v>186914</v>
      </c>
      <c r="D71" s="428">
        <v>186914</v>
      </c>
    </row>
    <row r="72" spans="1:4" ht="12.75">
      <c r="A72" s="22" t="s">
        <v>138</v>
      </c>
      <c r="B72" s="136">
        <v>225766</v>
      </c>
      <c r="C72" s="428">
        <v>118262</v>
      </c>
      <c r="D72" s="428">
        <v>118262</v>
      </c>
    </row>
    <row r="73" spans="1:4" s="25" customFormat="1" ht="12" customHeight="1">
      <c r="A73" s="22" t="s">
        <v>457</v>
      </c>
      <c r="B73" s="136">
        <v>2900</v>
      </c>
      <c r="C73" s="428">
        <v>0</v>
      </c>
      <c r="D73" s="428">
        <v>0</v>
      </c>
    </row>
    <row r="74" spans="1:4" ht="12.75">
      <c r="A74" s="22" t="s">
        <v>146</v>
      </c>
      <c r="B74" s="136">
        <v>2582</v>
      </c>
      <c r="C74" s="428">
        <v>0</v>
      </c>
      <c r="D74" s="428">
        <v>0</v>
      </c>
    </row>
    <row r="75" spans="1:4" ht="25.5">
      <c r="A75" s="22" t="s">
        <v>733</v>
      </c>
      <c r="B75" s="136"/>
      <c r="C75" s="428">
        <v>24685</v>
      </c>
      <c r="D75" s="428">
        <v>24686</v>
      </c>
    </row>
    <row r="76" spans="1:4" s="25" customFormat="1" ht="12.75">
      <c r="A76" s="26" t="s">
        <v>236</v>
      </c>
      <c r="B76" s="137">
        <f>SUM(B80:B80)</f>
        <v>0</v>
      </c>
      <c r="C76" s="430">
        <f>SUM(C77)</f>
        <v>380</v>
      </c>
      <c r="D76" s="430">
        <f>SUM(D77)</f>
        <v>380</v>
      </c>
    </row>
    <row r="77" spans="1:4" ht="12.75">
      <c r="A77" s="22" t="s">
        <v>703</v>
      </c>
      <c r="B77" s="137"/>
      <c r="C77" s="428">
        <v>380</v>
      </c>
      <c r="D77" s="428">
        <v>380</v>
      </c>
    </row>
    <row r="78" spans="1:4" ht="12.75">
      <c r="A78" s="22"/>
      <c r="B78" s="137"/>
      <c r="C78" s="428"/>
      <c r="D78" s="428"/>
    </row>
    <row r="79" spans="1:4" ht="12.75">
      <c r="A79" s="26" t="s">
        <v>704</v>
      </c>
      <c r="B79" s="137"/>
      <c r="C79" s="430">
        <f>SUM(C58,C76)</f>
        <v>1061521</v>
      </c>
      <c r="D79" s="430">
        <f>SUM(D58,D76)</f>
        <v>1032370</v>
      </c>
    </row>
    <row r="80" spans="1:4" s="25" customFormat="1" ht="12.75">
      <c r="A80" s="22"/>
      <c r="B80" s="136"/>
      <c r="C80" s="430"/>
      <c r="D80" s="430"/>
    </row>
    <row r="81" spans="1:4" ht="12.75">
      <c r="A81" s="26" t="s">
        <v>234</v>
      </c>
      <c r="B81" s="137">
        <f>SUM(B82:B82)</f>
        <v>600</v>
      </c>
      <c r="C81" s="430">
        <f>SUM(C82:C84)</f>
        <v>5659</v>
      </c>
      <c r="D81" s="430">
        <f>SUM(D82:D84)</f>
        <v>5659</v>
      </c>
    </row>
    <row r="82" spans="1:4" ht="25.5">
      <c r="A82" s="22" t="s">
        <v>241</v>
      </c>
      <c r="B82" s="136">
        <v>600</v>
      </c>
      <c r="C82" s="428">
        <v>0</v>
      </c>
      <c r="D82" s="428">
        <v>0</v>
      </c>
    </row>
    <row r="83" spans="1:4" ht="12.75">
      <c r="A83" s="96" t="s">
        <v>732</v>
      </c>
      <c r="B83" s="136"/>
      <c r="C83" s="428">
        <v>273</v>
      </c>
      <c r="D83" s="428">
        <v>273</v>
      </c>
    </row>
    <row r="84" spans="1:4" ht="12.75">
      <c r="A84" s="22" t="s">
        <v>734</v>
      </c>
      <c r="B84" s="136"/>
      <c r="C84" s="428">
        <v>5386</v>
      </c>
      <c r="D84" s="428">
        <v>5386</v>
      </c>
    </row>
    <row r="85" spans="1:4" ht="12.75">
      <c r="A85" s="26" t="s">
        <v>235</v>
      </c>
      <c r="B85" s="137">
        <f>SUM(B86:B88)</f>
        <v>1300</v>
      </c>
      <c r="C85" s="430">
        <f>SUM(C86:C88)</f>
        <v>26804</v>
      </c>
      <c r="D85" s="430">
        <f>SUM(D86:D88)</f>
        <v>26804</v>
      </c>
    </row>
    <row r="86" spans="1:4" s="23" customFormat="1" ht="12.75">
      <c r="A86" s="22" t="s">
        <v>451</v>
      </c>
      <c r="B86" s="136">
        <v>1300</v>
      </c>
      <c r="C86" s="428">
        <v>998</v>
      </c>
      <c r="D86" s="428">
        <v>998</v>
      </c>
    </row>
    <row r="87" spans="1:4" s="25" customFormat="1" ht="12.75">
      <c r="A87" s="22" t="s">
        <v>705</v>
      </c>
      <c r="B87" s="136"/>
      <c r="C87" s="428">
        <v>12770</v>
      </c>
      <c r="D87" s="428">
        <v>12770</v>
      </c>
    </row>
    <row r="88" spans="1:4" s="56" customFormat="1" ht="14.25" customHeight="1">
      <c r="A88" s="22" t="s">
        <v>735</v>
      </c>
      <c r="B88" s="136"/>
      <c r="C88" s="428">
        <v>13036</v>
      </c>
      <c r="D88" s="428">
        <v>13036</v>
      </c>
    </row>
    <row r="89" spans="1:4" ht="12.75">
      <c r="A89" s="26" t="s">
        <v>454</v>
      </c>
      <c r="B89" s="137">
        <f>SUM(B90:B91)</f>
        <v>28075</v>
      </c>
      <c r="C89" s="430">
        <f>SUM(C90:C91)</f>
        <v>1000</v>
      </c>
      <c r="D89" s="430">
        <f>SUM(D90:D91)</f>
        <v>1000</v>
      </c>
    </row>
    <row r="90" spans="1:4" ht="12.75">
      <c r="A90" s="22" t="s">
        <v>455</v>
      </c>
      <c r="B90" s="136">
        <v>27075</v>
      </c>
      <c r="C90" s="428">
        <v>0</v>
      </c>
      <c r="D90" s="428">
        <v>0</v>
      </c>
    </row>
    <row r="91" spans="1:4" s="35" customFormat="1" ht="12.75">
      <c r="A91" s="22" t="s">
        <v>456</v>
      </c>
      <c r="B91" s="136">
        <v>1000</v>
      </c>
      <c r="C91" s="428">
        <v>1000</v>
      </c>
      <c r="D91" s="428">
        <v>1000</v>
      </c>
    </row>
    <row r="92" spans="1:4" ht="12.75">
      <c r="A92" s="22"/>
      <c r="B92" s="136"/>
      <c r="C92" s="428"/>
      <c r="D92" s="428"/>
    </row>
    <row r="93" spans="1:4" ht="12.75">
      <c r="A93" s="26" t="s">
        <v>708</v>
      </c>
      <c r="B93" s="136"/>
      <c r="C93" s="430">
        <f>SUM(C81,C85,C89)</f>
        <v>33463</v>
      </c>
      <c r="D93" s="430">
        <f>SUM(D81,D85,D89)</f>
        <v>33463</v>
      </c>
    </row>
    <row r="94" spans="1:4" ht="12.75">
      <c r="A94" s="22"/>
      <c r="B94" s="136"/>
      <c r="C94" s="428"/>
      <c r="D94" s="428"/>
    </row>
    <row r="95" spans="1:4" ht="35.25" customHeight="1" thickBot="1">
      <c r="A95" s="57" t="s">
        <v>251</v>
      </c>
      <c r="B95" s="146">
        <f>SUM(B9,B46,B51,B58,B81,B85,B89)</f>
        <v>1897556</v>
      </c>
      <c r="C95" s="434">
        <f>SUM(C44,C56,C79,C93)</f>
        <v>1711727</v>
      </c>
      <c r="D95" s="434">
        <f>SUM(D44,D56,D79,D93)</f>
        <v>1678899</v>
      </c>
    </row>
    <row r="96" spans="1:2" ht="13.5" thickBot="1">
      <c r="A96" s="73"/>
      <c r="B96" s="93"/>
    </row>
    <row r="97" spans="1:4" ht="12.75">
      <c r="A97" s="29" t="s">
        <v>166</v>
      </c>
      <c r="B97" s="139" t="s">
        <v>4</v>
      </c>
      <c r="C97" s="274" t="s">
        <v>976</v>
      </c>
      <c r="D97" s="274" t="s">
        <v>1032</v>
      </c>
    </row>
    <row r="98" spans="1:4" ht="12.75">
      <c r="A98" s="22"/>
      <c r="B98" s="136"/>
      <c r="C98" s="428"/>
      <c r="D98" s="428"/>
    </row>
    <row r="99" spans="1:4" ht="12.75">
      <c r="A99" s="34" t="s">
        <v>637</v>
      </c>
      <c r="B99" s="145">
        <f>SUM(B101,B109,B106)</f>
        <v>15925</v>
      </c>
      <c r="C99" s="431">
        <f>SUM(C101,C109,C106)</f>
        <v>17030</v>
      </c>
      <c r="D99" s="431">
        <f>SUM(D101,D109,D106)</f>
        <v>16322</v>
      </c>
    </row>
    <row r="100" spans="1:4" ht="12.75">
      <c r="A100" s="34"/>
      <c r="B100" s="136"/>
      <c r="C100" s="428"/>
      <c r="D100" s="428"/>
    </row>
    <row r="101" spans="1:4" ht="12.75">
      <c r="A101" s="26" t="s">
        <v>238</v>
      </c>
      <c r="B101" s="137">
        <f>SUM(B102:B102)</f>
        <v>0</v>
      </c>
      <c r="C101" s="430">
        <f>SUM(C102:C105)</f>
        <v>8307</v>
      </c>
      <c r="D101" s="430">
        <f>SUM(D102:D105)</f>
        <v>8306</v>
      </c>
    </row>
    <row r="102" spans="1:4" ht="12.75">
      <c r="A102" s="22" t="s">
        <v>700</v>
      </c>
      <c r="B102" s="136"/>
      <c r="C102" s="428">
        <v>68</v>
      </c>
      <c r="D102" s="428">
        <v>68</v>
      </c>
    </row>
    <row r="103" spans="1:4" s="35" customFormat="1" ht="12.75">
      <c r="A103" s="22" t="s">
        <v>736</v>
      </c>
      <c r="B103" s="136"/>
      <c r="C103" s="428">
        <v>178</v>
      </c>
      <c r="D103" s="428">
        <v>177</v>
      </c>
    </row>
    <row r="104" spans="1:4" ht="12.75">
      <c r="A104" s="96" t="s">
        <v>304</v>
      </c>
      <c r="B104" s="174"/>
      <c r="C104" s="428">
        <v>7202</v>
      </c>
      <c r="D104" s="428">
        <v>7202</v>
      </c>
    </row>
    <row r="105" spans="1:4" ht="12.75">
      <c r="A105" s="96" t="s">
        <v>798</v>
      </c>
      <c r="B105" s="174"/>
      <c r="C105" s="428">
        <v>859</v>
      </c>
      <c r="D105" s="428">
        <v>859</v>
      </c>
    </row>
    <row r="106" spans="1:4" ht="12.75">
      <c r="A106" s="26" t="s">
        <v>237</v>
      </c>
      <c r="B106" s="137">
        <f>SUM(B107)</f>
        <v>14935</v>
      </c>
      <c r="C106" s="430">
        <f>SUM(C107)</f>
        <v>7733</v>
      </c>
      <c r="D106" s="430">
        <f>SUM(D107)</f>
        <v>6812</v>
      </c>
    </row>
    <row r="107" spans="1:4" ht="12.75">
      <c r="A107" s="22" t="s">
        <v>304</v>
      </c>
      <c r="B107" s="136">
        <v>14935</v>
      </c>
      <c r="C107" s="428">
        <v>7733</v>
      </c>
      <c r="D107" s="428">
        <v>6812</v>
      </c>
    </row>
    <row r="108" spans="1:4" ht="12.75">
      <c r="A108" s="22"/>
      <c r="B108" s="136"/>
      <c r="C108" s="428"/>
      <c r="D108" s="428"/>
    </row>
    <row r="109" spans="1:4" ht="12.75">
      <c r="A109" s="26" t="s">
        <v>235</v>
      </c>
      <c r="B109" s="137">
        <f>SUM(B110:B112)</f>
        <v>990</v>
      </c>
      <c r="C109" s="430">
        <f>SUM(C110:C112)</f>
        <v>990</v>
      </c>
      <c r="D109" s="430">
        <f>SUM(D110:D112)</f>
        <v>1204</v>
      </c>
    </row>
    <row r="110" spans="1:4" ht="12.75">
      <c r="A110" s="22" t="s">
        <v>254</v>
      </c>
      <c r="B110" s="136">
        <v>800</v>
      </c>
      <c r="C110" s="428">
        <v>800</v>
      </c>
      <c r="D110" s="428">
        <v>1204</v>
      </c>
    </row>
    <row r="111" spans="1:4" ht="12.75">
      <c r="A111" s="22" t="s">
        <v>255</v>
      </c>
      <c r="B111" s="136">
        <v>190</v>
      </c>
      <c r="C111" s="428">
        <v>190</v>
      </c>
      <c r="D111" s="428">
        <v>0</v>
      </c>
    </row>
    <row r="112" spans="1:4" ht="12.75">
      <c r="A112" s="22"/>
      <c r="B112" s="136"/>
      <c r="C112" s="428"/>
      <c r="D112" s="428"/>
    </row>
    <row r="113" spans="1:4" ht="12.75">
      <c r="A113" s="34" t="s">
        <v>641</v>
      </c>
      <c r="B113" s="145">
        <f>SUM(B115)</f>
        <v>7545</v>
      </c>
      <c r="C113" s="431">
        <f>SUM(C115)</f>
        <v>8275</v>
      </c>
      <c r="D113" s="431">
        <f>SUM(D115)</f>
        <v>7995</v>
      </c>
    </row>
    <row r="114" spans="1:4" ht="12.75">
      <c r="A114" s="34"/>
      <c r="B114" s="136"/>
      <c r="C114" s="428"/>
      <c r="D114" s="428"/>
    </row>
    <row r="115" spans="1:4" s="35" customFormat="1" ht="12.75">
      <c r="A115" s="26" t="s">
        <v>238</v>
      </c>
      <c r="B115" s="137">
        <f>SUM(B116)</f>
        <v>7545</v>
      </c>
      <c r="C115" s="430">
        <f>SUM(C116:C117)</f>
        <v>8275</v>
      </c>
      <c r="D115" s="430">
        <f>SUM(D116:D117)</f>
        <v>7995</v>
      </c>
    </row>
    <row r="116" spans="1:4" ht="12.75">
      <c r="A116" s="22" t="s">
        <v>97</v>
      </c>
      <c r="B116" s="136">
        <v>7545</v>
      </c>
      <c r="C116" s="428">
        <v>8224</v>
      </c>
      <c r="D116" s="428">
        <v>7944</v>
      </c>
    </row>
    <row r="117" spans="1:4" s="25" customFormat="1" ht="12.75">
      <c r="A117" s="22" t="s">
        <v>700</v>
      </c>
      <c r="B117" s="136"/>
      <c r="C117" s="428">
        <v>51</v>
      </c>
      <c r="D117" s="428">
        <v>51</v>
      </c>
    </row>
    <row r="118" spans="1:4" ht="12.75">
      <c r="A118" s="22"/>
      <c r="B118" s="136"/>
      <c r="C118" s="428"/>
      <c r="D118" s="428"/>
    </row>
    <row r="119" spans="1:4" ht="12.75">
      <c r="A119" s="34" t="s">
        <v>639</v>
      </c>
      <c r="B119" s="145">
        <f>SUM(B121)</f>
        <v>9289</v>
      </c>
      <c r="C119" s="431">
        <f>SUM(C121)</f>
        <v>9340</v>
      </c>
      <c r="D119" s="431">
        <f>SUM(D121)</f>
        <v>9262</v>
      </c>
    </row>
    <row r="120" spans="1:4" s="33" customFormat="1" ht="13.5">
      <c r="A120" s="34"/>
      <c r="B120" s="136"/>
      <c r="C120" s="432"/>
      <c r="D120" s="432"/>
    </row>
    <row r="121" spans="1:4" ht="12.75">
      <c r="A121" s="26" t="s">
        <v>238</v>
      </c>
      <c r="B121" s="137">
        <f>SUM(B122)</f>
        <v>9289</v>
      </c>
      <c r="C121" s="430">
        <f>SUM(C122:C123)</f>
        <v>9340</v>
      </c>
      <c r="D121" s="430">
        <f>SUM(D122:D123)</f>
        <v>9262</v>
      </c>
    </row>
    <row r="122" spans="1:4" s="33" customFormat="1" ht="12.75">
      <c r="A122" s="22" t="s">
        <v>98</v>
      </c>
      <c r="B122" s="136">
        <v>9289</v>
      </c>
      <c r="C122" s="428">
        <v>9289</v>
      </c>
      <c r="D122" s="428">
        <v>9211</v>
      </c>
    </row>
    <row r="123" spans="1:4" ht="12.75">
      <c r="A123" s="22" t="s">
        <v>700</v>
      </c>
      <c r="B123" s="136"/>
      <c r="C123" s="428">
        <v>51</v>
      </c>
      <c r="D123" s="428">
        <v>51</v>
      </c>
    </row>
    <row r="124" spans="1:4" ht="12" customHeight="1">
      <c r="A124" s="22"/>
      <c r="B124" s="136"/>
      <c r="C124" s="428"/>
      <c r="D124" s="428"/>
    </row>
    <row r="125" spans="1:4" ht="12.75">
      <c r="A125" s="34" t="s">
        <v>643</v>
      </c>
      <c r="B125" s="145">
        <f>SUM(B127)</f>
        <v>3329</v>
      </c>
      <c r="C125" s="431">
        <f>SUM(C127)</f>
        <v>3359</v>
      </c>
      <c r="D125" s="431">
        <f>SUM(D127)</f>
        <v>3359</v>
      </c>
    </row>
    <row r="126" spans="1:4" ht="12.75">
      <c r="A126" s="34"/>
      <c r="B126" s="136"/>
      <c r="C126" s="428"/>
      <c r="D126" s="428"/>
    </row>
    <row r="127" spans="1:4" ht="12.75">
      <c r="A127" s="26" t="s">
        <v>238</v>
      </c>
      <c r="B127" s="137">
        <f>SUM(B128)</f>
        <v>3329</v>
      </c>
      <c r="C127" s="430">
        <f>SUM(C128)</f>
        <v>3359</v>
      </c>
      <c r="D127" s="430">
        <f>SUM(D128)</f>
        <v>3359</v>
      </c>
    </row>
    <row r="128" spans="1:4" ht="12.75">
      <c r="A128" s="22" t="s">
        <v>99</v>
      </c>
      <c r="B128" s="136">
        <v>3329</v>
      </c>
      <c r="C128" s="428">
        <v>3359</v>
      </c>
      <c r="D128" s="428">
        <v>3359</v>
      </c>
    </row>
    <row r="129" spans="1:4" ht="12.75">
      <c r="A129" s="22"/>
      <c r="B129" s="136"/>
      <c r="C129" s="428"/>
      <c r="D129" s="428"/>
    </row>
    <row r="130" spans="1:4" ht="13.5">
      <c r="A130" s="32" t="s">
        <v>239</v>
      </c>
      <c r="B130" s="138">
        <f>SUM(B101,B115,B121,B127)</f>
        <v>20163</v>
      </c>
      <c r="C130" s="432">
        <f>SUM(C101,C115,C121,C127)</f>
        <v>29281</v>
      </c>
      <c r="D130" s="432">
        <f>SUM(D101,D115,D121,D127)</f>
        <v>28922</v>
      </c>
    </row>
    <row r="131" spans="1:4" ht="12.75">
      <c r="A131" s="22"/>
      <c r="B131" s="136"/>
      <c r="C131" s="428"/>
      <c r="D131" s="428"/>
    </row>
    <row r="132" spans="1:4" ht="13.5">
      <c r="A132" s="32" t="s">
        <v>658</v>
      </c>
      <c r="B132" s="138">
        <f>SUM(B109,B106)</f>
        <v>15925</v>
      </c>
      <c r="C132" s="432">
        <f>SUM(C109,C106)</f>
        <v>8723</v>
      </c>
      <c r="D132" s="432">
        <f>SUM(D109,D106)</f>
        <v>8016</v>
      </c>
    </row>
    <row r="133" spans="1:4" ht="12.75">
      <c r="A133" s="22"/>
      <c r="B133" s="137"/>
      <c r="C133" s="428"/>
      <c r="D133" s="428"/>
    </row>
    <row r="134" spans="1:4" ht="37.5" customHeight="1" thickBot="1">
      <c r="A134" s="57" t="s">
        <v>252</v>
      </c>
      <c r="B134" s="146">
        <f>SUM(B130,B132)</f>
        <v>36088</v>
      </c>
      <c r="C134" s="434">
        <f>SUM(C130,C132)</f>
        <v>38004</v>
      </c>
      <c r="D134" s="434">
        <f>SUM(D130,D132)</f>
        <v>36938</v>
      </c>
    </row>
  </sheetData>
  <sheetProtection/>
  <mergeCells count="2">
    <mergeCell ref="A2:D2"/>
    <mergeCell ref="A3:D3"/>
  </mergeCells>
  <printOptions horizontalCentered="1"/>
  <pageMargins left="0.4724409448818898" right="0.2362204724409449" top="0.9448818897637796" bottom="0.7480314960629921" header="0.5118110236220472" footer="0.5118110236220472"/>
  <pageSetup fitToHeight="0" fitToWidth="1" horizontalDpi="600" verticalDpi="600" orientation="portrait" paperSize="9" scale="72" r:id="rId1"/>
  <headerFooter alignWithMargins="0">
    <oddHeader>&amp;L12. melléklet a 16/2016.(V.26.)  önkormányzati rendelethez
</oddHeader>
  </headerFooter>
  <rowBreaks count="1" manualBreakCount="1">
    <brk id="69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workbookViewId="0" topLeftCell="A19">
      <selection activeCell="D40" sqref="D40"/>
    </sheetView>
  </sheetViews>
  <sheetFormatPr defaultColWidth="9.00390625" defaultRowHeight="12.75"/>
  <cols>
    <col min="1" max="1" width="46.875" style="48" customWidth="1"/>
    <col min="2" max="2" width="16.75390625" style="48" customWidth="1"/>
    <col min="3" max="4" width="13.625" style="48" customWidth="1"/>
    <col min="5" max="16384" width="9.125" style="48" customWidth="1"/>
  </cols>
  <sheetData>
    <row r="1" spans="1:4" ht="15" customHeight="1">
      <c r="A1" s="1231" t="s">
        <v>447</v>
      </c>
      <c r="B1" s="1231"/>
      <c r="C1" s="1231"/>
      <c r="D1" s="1231"/>
    </row>
    <row r="2" spans="1:2" ht="14.25" customHeight="1" thickBot="1">
      <c r="A2" s="49"/>
      <c r="B2" s="50"/>
    </row>
    <row r="3" spans="1:4" ht="37.5" customHeight="1" thickBot="1">
      <c r="A3" s="1227" t="s">
        <v>448</v>
      </c>
      <c r="B3" s="1233" t="s">
        <v>449</v>
      </c>
      <c r="C3" s="1234"/>
      <c r="D3" s="631" t="s">
        <v>1204</v>
      </c>
    </row>
    <row r="4" spans="1:4" ht="15" customHeight="1" thickBot="1">
      <c r="A4" s="1228"/>
      <c r="B4" s="587" t="s">
        <v>4</v>
      </c>
      <c r="C4" s="582" t="s">
        <v>976</v>
      </c>
      <c r="D4" s="582" t="s">
        <v>1032</v>
      </c>
    </row>
    <row r="5" spans="1:4" ht="15" customHeight="1">
      <c r="A5" s="435" t="s">
        <v>495</v>
      </c>
      <c r="B5" s="436">
        <v>22</v>
      </c>
      <c r="C5" s="436">
        <v>22</v>
      </c>
      <c r="D5" s="437">
        <v>21</v>
      </c>
    </row>
    <row r="6" spans="1:4" ht="15" customHeight="1">
      <c r="A6" s="51" t="s">
        <v>496</v>
      </c>
      <c r="B6" s="147">
        <v>18.75</v>
      </c>
      <c r="C6" s="147">
        <v>18.75</v>
      </c>
      <c r="D6" s="588">
        <v>19</v>
      </c>
    </row>
    <row r="7" spans="1:4" ht="15" customHeight="1">
      <c r="A7" s="51" t="s">
        <v>497</v>
      </c>
      <c r="B7" s="147">
        <v>3.5</v>
      </c>
      <c r="C7" s="147">
        <v>3.5</v>
      </c>
      <c r="D7" s="588">
        <v>4</v>
      </c>
    </row>
    <row r="8" spans="1:4" s="88" customFormat="1" ht="15" customHeight="1">
      <c r="A8" s="154" t="s">
        <v>498</v>
      </c>
      <c r="B8" s="148">
        <f>SUM(B6:B7)</f>
        <v>22.25</v>
      </c>
      <c r="C8" s="148">
        <f>SUM(C6:C7)</f>
        <v>22.25</v>
      </c>
      <c r="D8" s="438">
        <f>SUM(D6:D7)</f>
        <v>23</v>
      </c>
    </row>
    <row r="9" spans="1:4" ht="15" customHeight="1">
      <c r="A9" s="51" t="s">
        <v>499</v>
      </c>
      <c r="B9" s="147">
        <v>23</v>
      </c>
      <c r="C9" s="147">
        <v>23</v>
      </c>
      <c r="D9" s="588">
        <v>22</v>
      </c>
    </row>
    <row r="10" spans="1:4" ht="15" customHeight="1">
      <c r="A10" s="51" t="s">
        <v>500</v>
      </c>
      <c r="B10" s="147">
        <v>17.5</v>
      </c>
      <c r="C10" s="147">
        <v>17.5</v>
      </c>
      <c r="D10" s="588">
        <v>16</v>
      </c>
    </row>
    <row r="11" spans="1:4" ht="15" customHeight="1">
      <c r="A11" s="51" t="s">
        <v>501</v>
      </c>
      <c r="B11" s="147">
        <v>17</v>
      </c>
      <c r="C11" s="147">
        <v>17</v>
      </c>
      <c r="D11" s="588">
        <v>17</v>
      </c>
    </row>
    <row r="12" spans="1:4" ht="15" customHeight="1">
      <c r="A12" s="51" t="s">
        <v>502</v>
      </c>
      <c r="B12" s="147">
        <v>7</v>
      </c>
      <c r="C12" s="147">
        <v>7</v>
      </c>
      <c r="D12" s="588">
        <v>7</v>
      </c>
    </row>
    <row r="13" spans="1:4" s="88" customFormat="1" ht="15" customHeight="1">
      <c r="A13" s="154" t="s">
        <v>503</v>
      </c>
      <c r="B13" s="148">
        <f>SUM(B11:B12)</f>
        <v>24</v>
      </c>
      <c r="C13" s="148">
        <f>SUM(C11:C12)</f>
        <v>24</v>
      </c>
      <c r="D13" s="438">
        <f>SUM(D11:D12)</f>
        <v>24</v>
      </c>
    </row>
    <row r="14" spans="1:4" s="88" customFormat="1" ht="15" customHeight="1">
      <c r="A14" s="154" t="s">
        <v>504</v>
      </c>
      <c r="B14" s="148">
        <f>SUM(B5,B8,B9,B10,B13)</f>
        <v>108.75</v>
      </c>
      <c r="C14" s="148">
        <f>SUM(C5,C8,C9,C10,C13)</f>
        <v>108.75</v>
      </c>
      <c r="D14" s="438">
        <f>SUM(D5,D8,D9,D10,D13)</f>
        <v>106</v>
      </c>
    </row>
    <row r="15" spans="1:4" ht="15" customHeight="1">
      <c r="A15" s="51" t="s">
        <v>450</v>
      </c>
      <c r="B15" s="147">
        <v>34</v>
      </c>
      <c r="C15" s="147">
        <v>34</v>
      </c>
      <c r="D15" s="588">
        <v>33</v>
      </c>
    </row>
    <row r="16" spans="1:4" ht="15.75" customHeight="1">
      <c r="A16" s="51" t="s">
        <v>541</v>
      </c>
      <c r="B16" s="147">
        <v>9.5</v>
      </c>
      <c r="C16" s="147">
        <v>9.5</v>
      </c>
      <c r="D16" s="588">
        <v>10</v>
      </c>
    </row>
    <row r="17" spans="1:4" ht="15" customHeight="1">
      <c r="A17" s="51" t="s">
        <v>549</v>
      </c>
      <c r="B17" s="147">
        <v>20.5</v>
      </c>
      <c r="C17" s="147">
        <v>20.5</v>
      </c>
      <c r="D17" s="588">
        <v>17</v>
      </c>
    </row>
    <row r="18" spans="1:4" ht="15" customHeight="1">
      <c r="A18" s="51" t="s">
        <v>542</v>
      </c>
      <c r="B18" s="147">
        <v>8</v>
      </c>
      <c r="C18" s="147">
        <v>10</v>
      </c>
      <c r="D18" s="588">
        <v>10</v>
      </c>
    </row>
    <row r="19" spans="1:4" ht="15" customHeight="1">
      <c r="A19" s="259" t="s">
        <v>543</v>
      </c>
      <c r="B19" s="147"/>
      <c r="C19" s="147">
        <v>38</v>
      </c>
      <c r="D19" s="588">
        <v>44</v>
      </c>
    </row>
    <row r="20" spans="1:4" s="55" customFormat="1" ht="15" customHeight="1">
      <c r="A20" s="155" t="s">
        <v>298</v>
      </c>
      <c r="B20" s="149">
        <f>SUM(B14,B15,B16,B17,B18)</f>
        <v>180.75</v>
      </c>
      <c r="C20" s="149">
        <f>SUM(C14,C15,C16,C17,C18,C19)</f>
        <v>220.75</v>
      </c>
      <c r="D20" s="439">
        <f>SUM(D14,D15,D16,D17,D18,D19)</f>
        <v>220</v>
      </c>
    </row>
    <row r="21" spans="1:4" s="55" customFormat="1" ht="15" customHeight="1">
      <c r="A21" s="156" t="s">
        <v>543</v>
      </c>
      <c r="B21" s="149">
        <v>40</v>
      </c>
      <c r="C21" s="149">
        <v>0</v>
      </c>
      <c r="D21" s="439">
        <v>0</v>
      </c>
    </row>
    <row r="22" spans="1:4" s="89" customFormat="1" ht="15" customHeight="1">
      <c r="A22" s="157" t="s">
        <v>544</v>
      </c>
      <c r="B22" s="150">
        <f>SUM(B20:B21)</f>
        <v>220.75</v>
      </c>
      <c r="C22" s="150">
        <f>SUM(C20:C21)</f>
        <v>220.75</v>
      </c>
      <c r="D22" s="440">
        <f>SUM(D20:D21)</f>
        <v>220</v>
      </c>
    </row>
    <row r="23" spans="1:4" ht="15" customHeight="1">
      <c r="A23" s="51"/>
      <c r="B23" s="147"/>
      <c r="C23" s="583"/>
      <c r="D23" s="153"/>
    </row>
    <row r="24" spans="1:4" ht="15" customHeight="1">
      <c r="A24" s="158" t="s">
        <v>12</v>
      </c>
      <c r="B24" s="147"/>
      <c r="C24" s="583"/>
      <c r="D24" s="153"/>
    </row>
    <row r="25" spans="1:4" ht="15" customHeight="1">
      <c r="A25" s="159" t="s">
        <v>545</v>
      </c>
      <c r="B25" s="151">
        <v>78</v>
      </c>
      <c r="C25" s="151">
        <v>80</v>
      </c>
      <c r="D25" s="441">
        <v>74</v>
      </c>
    </row>
    <row r="26" spans="1:4" ht="15" customHeight="1">
      <c r="A26" s="160" t="s">
        <v>206</v>
      </c>
      <c r="B26" s="147">
        <v>5</v>
      </c>
      <c r="C26" s="151">
        <v>5</v>
      </c>
      <c r="D26" s="441">
        <v>5</v>
      </c>
    </row>
    <row r="27" spans="1:4" ht="15" customHeight="1">
      <c r="A27" s="159" t="s">
        <v>205</v>
      </c>
      <c r="B27" s="147">
        <v>3</v>
      </c>
      <c r="C27" s="151">
        <v>3</v>
      </c>
      <c r="D27" s="441">
        <v>3</v>
      </c>
    </row>
    <row r="28" spans="1:4" ht="15" customHeight="1">
      <c r="A28" s="159" t="s">
        <v>546</v>
      </c>
      <c r="B28" s="147">
        <v>6</v>
      </c>
      <c r="C28" s="151">
        <v>6</v>
      </c>
      <c r="D28" s="441">
        <v>6</v>
      </c>
    </row>
    <row r="29" spans="1:4" ht="15" customHeight="1">
      <c r="A29" s="158" t="s">
        <v>207</v>
      </c>
      <c r="B29" s="152">
        <f>SUM(B25:B28)</f>
        <v>92</v>
      </c>
      <c r="C29" s="152">
        <f>SUM(C25:C28)</f>
        <v>94</v>
      </c>
      <c r="D29" s="442">
        <f>SUM(D25:D28)</f>
        <v>88</v>
      </c>
    </row>
    <row r="30" spans="1:4" ht="15" customHeight="1">
      <c r="A30" s="158"/>
      <c r="B30" s="147"/>
      <c r="C30" s="583"/>
      <c r="D30" s="153"/>
    </row>
    <row r="31" spans="1:4" ht="15" customHeight="1">
      <c r="A31" s="158" t="s">
        <v>208</v>
      </c>
      <c r="B31" s="152">
        <v>2</v>
      </c>
      <c r="C31" s="152">
        <v>2</v>
      </c>
      <c r="D31" s="442">
        <v>2</v>
      </c>
    </row>
    <row r="32" spans="1:4" ht="15" customHeight="1">
      <c r="A32" s="51"/>
      <c r="B32" s="147"/>
      <c r="C32" s="583"/>
      <c r="D32" s="153"/>
    </row>
    <row r="33" spans="1:4" ht="15" customHeight="1" thickBot="1">
      <c r="A33" s="161" t="s">
        <v>272</v>
      </c>
      <c r="B33" s="162">
        <f>SUM(B22+B29+B31)</f>
        <v>314.75</v>
      </c>
      <c r="C33" s="162">
        <f>SUM(C22+C29+C31)</f>
        <v>316.75</v>
      </c>
      <c r="D33" s="443">
        <f>SUM(D22+D29+D31)</f>
        <v>310</v>
      </c>
    </row>
    <row r="34" spans="1:2" ht="18.75">
      <c r="A34" s="52"/>
      <c r="B34" s="53"/>
    </row>
    <row r="35" ht="15.75">
      <c r="A35" s="54"/>
    </row>
    <row r="36" spans="1:4" ht="12.75">
      <c r="A36" s="1232" t="s">
        <v>547</v>
      </c>
      <c r="B36" s="1232"/>
      <c r="C36" s="1232"/>
      <c r="D36" s="1232"/>
    </row>
    <row r="37" ht="13.5" thickBot="1"/>
    <row r="38" spans="1:4" ht="39" thickBot="1">
      <c r="A38" s="1229" t="s">
        <v>621</v>
      </c>
      <c r="B38" s="1235" t="s">
        <v>1205</v>
      </c>
      <c r="C38" s="1236"/>
      <c r="D38" s="631" t="s">
        <v>1204</v>
      </c>
    </row>
    <row r="39" spans="1:4" ht="15.75" customHeight="1" thickBot="1">
      <c r="A39" s="1230"/>
      <c r="B39" s="581" t="s">
        <v>4</v>
      </c>
      <c r="C39" s="582" t="s">
        <v>976</v>
      </c>
      <c r="D39" s="582" t="s">
        <v>1032</v>
      </c>
    </row>
    <row r="40" spans="1:4" ht="12.75">
      <c r="A40" s="584" t="s">
        <v>548</v>
      </c>
      <c r="B40" s="585">
        <v>170</v>
      </c>
      <c r="C40" s="585">
        <v>147</v>
      </c>
      <c r="D40" s="586">
        <v>111.42</v>
      </c>
    </row>
    <row r="41" spans="1:4" s="55" customFormat="1" ht="13.5" thickBot="1">
      <c r="A41" s="163" t="s">
        <v>149</v>
      </c>
      <c r="B41" s="164">
        <f>SUM(B40:B40)</f>
        <v>170</v>
      </c>
      <c r="C41" s="164">
        <f>SUM(C40:C40)</f>
        <v>147</v>
      </c>
      <c r="D41" s="164">
        <f>SUM(D40:D40)</f>
        <v>111.42</v>
      </c>
    </row>
    <row r="44" ht="25.5" customHeight="1"/>
  </sheetData>
  <sheetProtection/>
  <mergeCells count="6">
    <mergeCell ref="A3:A4"/>
    <mergeCell ref="A38:A39"/>
    <mergeCell ref="A1:D1"/>
    <mergeCell ref="A36:D36"/>
    <mergeCell ref="B3:C3"/>
    <mergeCell ref="B38:C3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&amp;L13. melléklet a 16/2016.(V.26.)  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view="pageBreakPreview" zoomScale="87" zoomScaleSheetLayoutView="87" workbookViewId="0" topLeftCell="A13">
      <selection activeCell="I5" sqref="I5"/>
    </sheetView>
  </sheetViews>
  <sheetFormatPr defaultColWidth="11.625" defaultRowHeight="14.25" customHeight="1"/>
  <cols>
    <col min="1" max="1" width="6.875" style="46" customWidth="1"/>
    <col min="2" max="2" width="11.75390625" style="46" customWidth="1"/>
    <col min="3" max="3" width="15.125" style="46" customWidth="1"/>
    <col min="4" max="4" width="17.625" style="46" customWidth="1"/>
    <col min="5" max="5" width="16.25390625" style="46" customWidth="1"/>
    <col min="6" max="7" width="17.125" style="46" customWidth="1"/>
    <col min="8" max="8" width="17.875" style="46" customWidth="1"/>
    <col min="9" max="9" width="16.875" style="46" customWidth="1"/>
    <col min="10" max="10" width="16.125" style="46" customWidth="1"/>
    <col min="11" max="11" width="14.25390625" style="46" customWidth="1"/>
    <col min="12" max="13" width="13.375" style="0" customWidth="1"/>
  </cols>
  <sheetData>
    <row r="1" spans="1:13" ht="14.25" customHeight="1">
      <c r="A1" s="1249" t="s">
        <v>279</v>
      </c>
      <c r="B1" s="1249"/>
      <c r="C1" s="1249"/>
      <c r="D1" s="1249"/>
      <c r="E1" s="1249"/>
      <c r="F1" s="1249"/>
      <c r="G1" s="1249"/>
      <c r="H1" s="1249"/>
      <c r="I1" s="1249"/>
      <c r="J1" s="1249"/>
      <c r="K1" s="1249"/>
      <c r="L1" s="1249"/>
      <c r="M1" s="1249"/>
    </row>
    <row r="2" spans="1:13" ht="14.25" customHeight="1">
      <c r="A2" s="1069"/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8"/>
      <c r="M2" s="1068"/>
    </row>
    <row r="3" spans="1:13" ht="14.25" customHeight="1">
      <c r="A3" s="1239" t="s">
        <v>506</v>
      </c>
      <c r="B3" s="1239"/>
      <c r="C3" s="1239"/>
      <c r="D3" s="1239"/>
      <c r="E3" s="1239"/>
      <c r="F3" s="1239"/>
      <c r="G3" s="1239"/>
      <c r="H3" s="1239"/>
      <c r="I3" s="1239"/>
      <c r="J3" s="1239"/>
      <c r="K3" s="1239"/>
      <c r="L3" s="1239"/>
      <c r="M3" s="1239"/>
    </row>
    <row r="4" spans="1:13" ht="14.25" customHeight="1">
      <c r="A4" s="1239"/>
      <c r="B4" s="1239"/>
      <c r="C4" s="1239"/>
      <c r="D4" s="1239"/>
      <c r="E4" s="1239"/>
      <c r="F4" s="1239"/>
      <c r="G4" s="1239"/>
      <c r="H4" s="1239"/>
      <c r="I4" s="1239"/>
      <c r="J4" s="1239"/>
      <c r="K4" s="1239"/>
      <c r="L4" s="1068"/>
      <c r="M4" s="1068"/>
    </row>
    <row r="5" spans="1:13" ht="17.25" customHeight="1" thickBot="1">
      <c r="A5" s="1069"/>
      <c r="B5" s="1069"/>
      <c r="C5" s="1069"/>
      <c r="D5" s="1069"/>
      <c r="E5" s="1069"/>
      <c r="F5" s="1069"/>
      <c r="G5" s="1069"/>
      <c r="H5" s="1069"/>
      <c r="I5" s="1069"/>
      <c r="J5" s="1069"/>
      <c r="K5" s="1070"/>
      <c r="L5" s="1068"/>
      <c r="M5" s="1068"/>
    </row>
    <row r="6" spans="1:13" ht="54" customHeight="1">
      <c r="A6" s="1242" t="s">
        <v>621</v>
      </c>
      <c r="B6" s="1243"/>
      <c r="C6" s="1071" t="s">
        <v>681</v>
      </c>
      <c r="D6" s="1071" t="s">
        <v>979</v>
      </c>
      <c r="E6" s="1071" t="s">
        <v>1034</v>
      </c>
      <c r="F6" s="1071" t="s">
        <v>682</v>
      </c>
      <c r="G6" s="1071" t="s">
        <v>980</v>
      </c>
      <c r="H6" s="1071" t="s">
        <v>1035</v>
      </c>
      <c r="I6" s="1071" t="s">
        <v>981</v>
      </c>
      <c r="J6" s="1071" t="s">
        <v>1036</v>
      </c>
      <c r="K6" s="1071" t="s">
        <v>683</v>
      </c>
      <c r="L6" s="1071" t="s">
        <v>982</v>
      </c>
      <c r="M6" s="1072" t="s">
        <v>1037</v>
      </c>
    </row>
    <row r="7" spans="1:13" ht="15" customHeight="1">
      <c r="A7" s="1237" t="s">
        <v>288</v>
      </c>
      <c r="B7" s="1238"/>
      <c r="C7" s="1073">
        <v>222222</v>
      </c>
      <c r="D7" s="1073">
        <v>222222</v>
      </c>
      <c r="E7" s="1073">
        <v>222222</v>
      </c>
      <c r="F7" s="1073">
        <v>650000</v>
      </c>
      <c r="G7" s="1073">
        <v>650000</v>
      </c>
      <c r="H7" s="1073">
        <v>650000</v>
      </c>
      <c r="I7" s="1073">
        <v>166394</v>
      </c>
      <c r="J7" s="1073">
        <v>166394</v>
      </c>
      <c r="K7" s="1074">
        <f aca="true" t="shared" si="0" ref="K7:K36">C7+F7</f>
        <v>872222</v>
      </c>
      <c r="L7" s="1074">
        <f>D7+G7+I7</f>
        <v>1038616</v>
      </c>
      <c r="M7" s="1075">
        <f>E7+H7+J7</f>
        <v>1038616</v>
      </c>
    </row>
    <row r="8" spans="1:13" ht="15" customHeight="1">
      <c r="A8" s="1076"/>
      <c r="B8" s="1077" t="s">
        <v>286</v>
      </c>
      <c r="C8" s="1073">
        <v>0</v>
      </c>
      <c r="D8" s="1073">
        <v>221950</v>
      </c>
      <c r="E8" s="1073">
        <v>221949</v>
      </c>
      <c r="F8" s="1073">
        <v>0</v>
      </c>
      <c r="G8" s="1073">
        <v>0</v>
      </c>
      <c r="H8" s="1073">
        <v>0</v>
      </c>
      <c r="I8" s="1073">
        <v>0</v>
      </c>
      <c r="J8" s="1073">
        <v>0</v>
      </c>
      <c r="K8" s="1074">
        <f t="shared" si="0"/>
        <v>0</v>
      </c>
      <c r="L8" s="1074">
        <f aca="true" t="shared" si="1" ref="L8:M36">D8+G8+I8</f>
        <v>221950</v>
      </c>
      <c r="M8" s="1075">
        <f t="shared" si="1"/>
        <v>221949</v>
      </c>
    </row>
    <row r="9" spans="1:13" ht="15" customHeight="1">
      <c r="A9" s="1078"/>
      <c r="B9" s="1077" t="s">
        <v>287</v>
      </c>
      <c r="C9" s="1073">
        <v>13744</v>
      </c>
      <c r="D9" s="1073">
        <v>8594</v>
      </c>
      <c r="E9" s="1073">
        <v>8559</v>
      </c>
      <c r="F9" s="1073">
        <v>11595</v>
      </c>
      <c r="G9" s="1073">
        <v>3103</v>
      </c>
      <c r="H9" s="1073">
        <v>3070</v>
      </c>
      <c r="I9" s="1073">
        <v>1000</v>
      </c>
      <c r="J9" s="1073">
        <v>978</v>
      </c>
      <c r="K9" s="1074">
        <f t="shared" si="0"/>
        <v>25339</v>
      </c>
      <c r="L9" s="1074">
        <f t="shared" si="1"/>
        <v>12697</v>
      </c>
      <c r="M9" s="1075">
        <f t="shared" si="1"/>
        <v>12607</v>
      </c>
    </row>
    <row r="10" spans="1:13" ht="15" customHeight="1">
      <c r="A10" s="1237" t="s">
        <v>289</v>
      </c>
      <c r="B10" s="1238"/>
      <c r="C10" s="1073">
        <f>C7-C8</f>
        <v>222222</v>
      </c>
      <c r="D10" s="1073"/>
      <c r="E10" s="1073"/>
      <c r="F10" s="1073">
        <f>F7-F8</f>
        <v>650000</v>
      </c>
      <c r="G10" s="1073">
        <v>650000</v>
      </c>
      <c r="H10" s="1073"/>
      <c r="I10" s="1073">
        <v>166394</v>
      </c>
      <c r="J10" s="1073"/>
      <c r="K10" s="1074">
        <f t="shared" si="0"/>
        <v>872222</v>
      </c>
      <c r="L10" s="1074">
        <f t="shared" si="1"/>
        <v>816394</v>
      </c>
      <c r="M10" s="1075">
        <f t="shared" si="1"/>
        <v>0</v>
      </c>
    </row>
    <row r="11" spans="1:13" ht="15" customHeight="1">
      <c r="A11" s="1078"/>
      <c r="B11" s="1077" t="s">
        <v>286</v>
      </c>
      <c r="C11" s="1073">
        <v>111111</v>
      </c>
      <c r="D11" s="1073"/>
      <c r="E11" s="1073"/>
      <c r="F11" s="1073">
        <v>0</v>
      </c>
      <c r="G11" s="1073">
        <v>0</v>
      </c>
      <c r="H11" s="1073"/>
      <c r="I11" s="1073">
        <v>35030</v>
      </c>
      <c r="J11" s="1073"/>
      <c r="K11" s="1074">
        <f t="shared" si="0"/>
        <v>111111</v>
      </c>
      <c r="L11" s="1074">
        <f t="shared" si="1"/>
        <v>35030</v>
      </c>
      <c r="M11" s="1075">
        <f t="shared" si="1"/>
        <v>0</v>
      </c>
    </row>
    <row r="12" spans="1:13" ht="15" customHeight="1">
      <c r="A12" s="1078"/>
      <c r="B12" s="1077" t="s">
        <v>287</v>
      </c>
      <c r="C12" s="1073">
        <v>11188</v>
      </c>
      <c r="D12" s="1073"/>
      <c r="E12" s="1073"/>
      <c r="F12" s="1073">
        <v>23063</v>
      </c>
      <c r="G12" s="1073">
        <v>23063</v>
      </c>
      <c r="H12" s="1073"/>
      <c r="I12" s="1073">
        <v>3583</v>
      </c>
      <c r="J12" s="1073"/>
      <c r="K12" s="1074">
        <f t="shared" si="0"/>
        <v>34251</v>
      </c>
      <c r="L12" s="1074">
        <f t="shared" si="1"/>
        <v>26646</v>
      </c>
      <c r="M12" s="1075">
        <f t="shared" si="1"/>
        <v>0</v>
      </c>
    </row>
    <row r="13" spans="1:13" ht="15" customHeight="1">
      <c r="A13" s="1237" t="s">
        <v>290</v>
      </c>
      <c r="B13" s="1238"/>
      <c r="C13" s="1073">
        <f>C10-C11</f>
        <v>111111</v>
      </c>
      <c r="D13" s="1073"/>
      <c r="E13" s="1073"/>
      <c r="F13" s="1073">
        <f>F10-F11</f>
        <v>650000</v>
      </c>
      <c r="G13" s="1073">
        <v>650000</v>
      </c>
      <c r="H13" s="1073"/>
      <c r="I13" s="1073">
        <v>131364</v>
      </c>
      <c r="J13" s="1073"/>
      <c r="K13" s="1074">
        <f t="shared" si="0"/>
        <v>761111</v>
      </c>
      <c r="L13" s="1074">
        <f t="shared" si="1"/>
        <v>781364</v>
      </c>
      <c r="M13" s="1075">
        <f t="shared" si="1"/>
        <v>0</v>
      </c>
    </row>
    <row r="14" spans="1:13" ht="15" customHeight="1">
      <c r="A14" s="1078"/>
      <c r="B14" s="1077" t="s">
        <v>286</v>
      </c>
      <c r="C14" s="1073">
        <v>111111</v>
      </c>
      <c r="D14" s="1073"/>
      <c r="E14" s="1073"/>
      <c r="F14" s="1073">
        <v>81250</v>
      </c>
      <c r="G14" s="1073">
        <v>81250</v>
      </c>
      <c r="H14" s="1073"/>
      <c r="I14" s="1073">
        <v>35030</v>
      </c>
      <c r="J14" s="1073"/>
      <c r="K14" s="1074">
        <f t="shared" si="0"/>
        <v>192361</v>
      </c>
      <c r="L14" s="1074">
        <f t="shared" si="1"/>
        <v>116280</v>
      </c>
      <c r="M14" s="1075">
        <f t="shared" si="1"/>
        <v>0</v>
      </c>
    </row>
    <row r="15" spans="1:13" ht="15" customHeight="1">
      <c r="A15" s="1078"/>
      <c r="B15" s="1077" t="s">
        <v>287</v>
      </c>
      <c r="C15" s="1073">
        <v>4278</v>
      </c>
      <c r="D15" s="1073"/>
      <c r="E15" s="1073"/>
      <c r="F15" s="1073">
        <v>22275</v>
      </c>
      <c r="G15" s="1073">
        <v>22274</v>
      </c>
      <c r="H15" s="1073"/>
      <c r="I15" s="1073">
        <v>2755</v>
      </c>
      <c r="J15" s="1073"/>
      <c r="K15" s="1074">
        <f t="shared" si="0"/>
        <v>26553</v>
      </c>
      <c r="L15" s="1074">
        <f t="shared" si="1"/>
        <v>25029</v>
      </c>
      <c r="M15" s="1075">
        <f t="shared" si="1"/>
        <v>0</v>
      </c>
    </row>
    <row r="16" spans="1:13" ht="15" customHeight="1">
      <c r="A16" s="1237" t="s">
        <v>291</v>
      </c>
      <c r="B16" s="1238"/>
      <c r="C16" s="1073"/>
      <c r="D16" s="1073"/>
      <c r="E16" s="1073"/>
      <c r="F16" s="1073">
        <f>F13-F14</f>
        <v>568750</v>
      </c>
      <c r="G16" s="1073">
        <v>568750</v>
      </c>
      <c r="H16" s="1073"/>
      <c r="I16" s="1073">
        <v>96334</v>
      </c>
      <c r="J16" s="1073"/>
      <c r="K16" s="1074">
        <f t="shared" si="0"/>
        <v>568750</v>
      </c>
      <c r="L16" s="1074">
        <f t="shared" si="1"/>
        <v>665084</v>
      </c>
      <c r="M16" s="1075">
        <f t="shared" si="1"/>
        <v>0</v>
      </c>
    </row>
    <row r="17" spans="1:13" ht="15" customHeight="1">
      <c r="A17" s="1078"/>
      <c r="B17" s="1077" t="s">
        <v>286</v>
      </c>
      <c r="C17" s="1073"/>
      <c r="D17" s="1073"/>
      <c r="E17" s="1073"/>
      <c r="F17" s="1073">
        <v>81250</v>
      </c>
      <c r="G17" s="1073">
        <v>81250</v>
      </c>
      <c r="H17" s="1073"/>
      <c r="I17" s="1073">
        <v>35030</v>
      </c>
      <c r="J17" s="1073"/>
      <c r="K17" s="1074">
        <f t="shared" si="0"/>
        <v>81250</v>
      </c>
      <c r="L17" s="1074">
        <f t="shared" si="1"/>
        <v>116280</v>
      </c>
      <c r="M17" s="1075">
        <f t="shared" si="1"/>
        <v>0</v>
      </c>
    </row>
    <row r="18" spans="1:13" ht="15" customHeight="1">
      <c r="A18" s="1078"/>
      <c r="B18" s="1077" t="s">
        <v>287</v>
      </c>
      <c r="C18" s="1073"/>
      <c r="D18" s="1073"/>
      <c r="E18" s="1073"/>
      <c r="F18" s="1073">
        <v>19400</v>
      </c>
      <c r="G18" s="1073">
        <v>19400</v>
      </c>
      <c r="H18" s="1073"/>
      <c r="I18" s="1073">
        <v>1938</v>
      </c>
      <c r="J18" s="1073"/>
      <c r="K18" s="1074">
        <f t="shared" si="0"/>
        <v>19400</v>
      </c>
      <c r="L18" s="1074">
        <f t="shared" si="1"/>
        <v>21338</v>
      </c>
      <c r="M18" s="1075">
        <f t="shared" si="1"/>
        <v>0</v>
      </c>
    </row>
    <row r="19" spans="1:13" ht="15" customHeight="1">
      <c r="A19" s="1237" t="s">
        <v>292</v>
      </c>
      <c r="B19" s="1238"/>
      <c r="C19" s="1073"/>
      <c r="D19" s="1073"/>
      <c r="E19" s="1073"/>
      <c r="F19" s="1073">
        <f>F16-F17</f>
        <v>487500</v>
      </c>
      <c r="G19" s="1073">
        <v>487500</v>
      </c>
      <c r="H19" s="1073"/>
      <c r="I19" s="1073">
        <v>61304</v>
      </c>
      <c r="J19" s="1073"/>
      <c r="K19" s="1074">
        <f t="shared" si="0"/>
        <v>487500</v>
      </c>
      <c r="L19" s="1074">
        <f t="shared" si="1"/>
        <v>548804</v>
      </c>
      <c r="M19" s="1075">
        <f t="shared" si="1"/>
        <v>0</v>
      </c>
    </row>
    <row r="20" spans="1:13" ht="15" customHeight="1">
      <c r="A20" s="1078"/>
      <c r="B20" s="1077" t="s">
        <v>286</v>
      </c>
      <c r="C20" s="1073"/>
      <c r="D20" s="1073"/>
      <c r="E20" s="1073"/>
      <c r="F20" s="1073">
        <v>81250</v>
      </c>
      <c r="G20" s="1073">
        <v>81250</v>
      </c>
      <c r="H20" s="1073"/>
      <c r="I20" s="1073">
        <v>35030</v>
      </c>
      <c r="J20" s="1073"/>
      <c r="K20" s="1074">
        <f t="shared" si="0"/>
        <v>81250</v>
      </c>
      <c r="L20" s="1074">
        <f t="shared" si="1"/>
        <v>116280</v>
      </c>
      <c r="M20" s="1075">
        <f t="shared" si="1"/>
        <v>0</v>
      </c>
    </row>
    <row r="21" spans="1:13" ht="15" customHeight="1">
      <c r="A21" s="1078"/>
      <c r="B21" s="1077" t="s">
        <v>287</v>
      </c>
      <c r="C21" s="1073"/>
      <c r="D21" s="1073"/>
      <c r="E21" s="1073"/>
      <c r="F21" s="1073">
        <v>16525</v>
      </c>
      <c r="G21" s="1073">
        <v>16525</v>
      </c>
      <c r="H21" s="1073"/>
      <c r="I21" s="1073">
        <v>1121</v>
      </c>
      <c r="J21" s="1073"/>
      <c r="K21" s="1074">
        <f t="shared" si="0"/>
        <v>16525</v>
      </c>
      <c r="L21" s="1074">
        <f t="shared" si="1"/>
        <v>17646</v>
      </c>
      <c r="M21" s="1075">
        <f t="shared" si="1"/>
        <v>0</v>
      </c>
    </row>
    <row r="22" spans="1:13" ht="15" customHeight="1">
      <c r="A22" s="1237" t="s">
        <v>293</v>
      </c>
      <c r="B22" s="1238"/>
      <c r="C22" s="1073"/>
      <c r="D22" s="1073"/>
      <c r="E22" s="1073"/>
      <c r="F22" s="1073">
        <f>F19-F20</f>
        <v>406250</v>
      </c>
      <c r="G22" s="1073">
        <v>406250</v>
      </c>
      <c r="H22" s="1073"/>
      <c r="I22" s="1073">
        <v>26274</v>
      </c>
      <c r="J22" s="1073"/>
      <c r="K22" s="1074">
        <f t="shared" si="0"/>
        <v>406250</v>
      </c>
      <c r="L22" s="1074">
        <f t="shared" si="1"/>
        <v>432524</v>
      </c>
      <c r="M22" s="1075">
        <f t="shared" si="1"/>
        <v>0</v>
      </c>
    </row>
    <row r="23" spans="1:13" ht="15" customHeight="1">
      <c r="A23" s="1078"/>
      <c r="B23" s="1077" t="s">
        <v>286</v>
      </c>
      <c r="C23" s="1073"/>
      <c r="D23" s="1073"/>
      <c r="E23" s="1073"/>
      <c r="F23" s="1073">
        <v>81250</v>
      </c>
      <c r="G23" s="1073">
        <v>81250</v>
      </c>
      <c r="H23" s="1073"/>
      <c r="I23" s="1073">
        <v>26274</v>
      </c>
      <c r="J23" s="1073"/>
      <c r="K23" s="1074">
        <f t="shared" si="0"/>
        <v>81250</v>
      </c>
      <c r="L23" s="1074">
        <f t="shared" si="1"/>
        <v>107524</v>
      </c>
      <c r="M23" s="1075">
        <f t="shared" si="1"/>
        <v>0</v>
      </c>
    </row>
    <row r="24" spans="1:13" ht="15" customHeight="1">
      <c r="A24" s="1078"/>
      <c r="B24" s="1077" t="s">
        <v>287</v>
      </c>
      <c r="C24" s="1073"/>
      <c r="D24" s="1073"/>
      <c r="E24" s="1073"/>
      <c r="F24" s="1073">
        <v>13690</v>
      </c>
      <c r="G24" s="1073">
        <v>13690</v>
      </c>
      <c r="H24" s="1073"/>
      <c r="I24" s="1073">
        <v>298</v>
      </c>
      <c r="J24" s="1073"/>
      <c r="K24" s="1074">
        <f t="shared" si="0"/>
        <v>13690</v>
      </c>
      <c r="L24" s="1074">
        <f t="shared" si="1"/>
        <v>13988</v>
      </c>
      <c r="M24" s="1075">
        <f t="shared" si="1"/>
        <v>0</v>
      </c>
    </row>
    <row r="25" spans="1:13" ht="15" customHeight="1">
      <c r="A25" s="1237" t="s">
        <v>294</v>
      </c>
      <c r="B25" s="1238"/>
      <c r="C25" s="1073"/>
      <c r="D25" s="1073"/>
      <c r="E25" s="1073"/>
      <c r="F25" s="1073">
        <f>F22-F23</f>
        <v>325000</v>
      </c>
      <c r="G25" s="1073">
        <v>325000</v>
      </c>
      <c r="H25" s="1073"/>
      <c r="I25" s="1073"/>
      <c r="J25" s="1073"/>
      <c r="K25" s="1074">
        <f t="shared" si="0"/>
        <v>325000</v>
      </c>
      <c r="L25" s="1074">
        <f t="shared" si="1"/>
        <v>325000</v>
      </c>
      <c r="M25" s="1075">
        <f t="shared" si="1"/>
        <v>0</v>
      </c>
    </row>
    <row r="26" spans="1:13" ht="15" customHeight="1">
      <c r="A26" s="1078"/>
      <c r="B26" s="1077" t="s">
        <v>286</v>
      </c>
      <c r="C26" s="1073"/>
      <c r="D26" s="1073"/>
      <c r="E26" s="1073"/>
      <c r="F26" s="1073">
        <v>81250</v>
      </c>
      <c r="G26" s="1073">
        <v>81250</v>
      </c>
      <c r="H26" s="1073"/>
      <c r="I26" s="1073"/>
      <c r="J26" s="1073"/>
      <c r="K26" s="1074">
        <f t="shared" si="0"/>
        <v>81250</v>
      </c>
      <c r="L26" s="1074">
        <f t="shared" si="1"/>
        <v>81250</v>
      </c>
      <c r="M26" s="1075">
        <f t="shared" si="1"/>
        <v>0</v>
      </c>
    </row>
    <row r="27" spans="1:13" ht="15" customHeight="1">
      <c r="A27" s="1078"/>
      <c r="B27" s="1077" t="s">
        <v>287</v>
      </c>
      <c r="C27" s="1073"/>
      <c r="D27" s="1073"/>
      <c r="E27" s="1073"/>
      <c r="F27" s="1073">
        <v>10775</v>
      </c>
      <c r="G27" s="1073">
        <v>10775</v>
      </c>
      <c r="H27" s="1073"/>
      <c r="I27" s="1073"/>
      <c r="J27" s="1073"/>
      <c r="K27" s="1074">
        <f t="shared" si="0"/>
        <v>10775</v>
      </c>
      <c r="L27" s="1074">
        <f t="shared" si="1"/>
        <v>10775</v>
      </c>
      <c r="M27" s="1075">
        <f t="shared" si="1"/>
        <v>0</v>
      </c>
    </row>
    <row r="28" spans="1:13" ht="15" customHeight="1">
      <c r="A28" s="1237" t="s">
        <v>295</v>
      </c>
      <c r="B28" s="1238"/>
      <c r="C28" s="1073"/>
      <c r="D28" s="1073"/>
      <c r="E28" s="1073"/>
      <c r="F28" s="1073">
        <f>F25-F26</f>
        <v>243750</v>
      </c>
      <c r="G28" s="1073">
        <v>243750</v>
      </c>
      <c r="H28" s="1073"/>
      <c r="I28" s="1073"/>
      <c r="J28" s="1073"/>
      <c r="K28" s="1074">
        <f t="shared" si="0"/>
        <v>243750</v>
      </c>
      <c r="L28" s="1074">
        <f t="shared" si="1"/>
        <v>243750</v>
      </c>
      <c r="M28" s="1075">
        <f t="shared" si="1"/>
        <v>0</v>
      </c>
    </row>
    <row r="29" spans="1:13" ht="15" customHeight="1">
      <c r="A29" s="1078"/>
      <c r="B29" s="1077" t="s">
        <v>286</v>
      </c>
      <c r="C29" s="1073"/>
      <c r="D29" s="1073"/>
      <c r="E29" s="1073"/>
      <c r="F29" s="1073">
        <v>81250</v>
      </c>
      <c r="G29" s="1073">
        <v>81250</v>
      </c>
      <c r="H29" s="1073"/>
      <c r="I29" s="1073"/>
      <c r="J29" s="1073"/>
      <c r="K29" s="1074">
        <f t="shared" si="0"/>
        <v>81250</v>
      </c>
      <c r="L29" s="1074">
        <f t="shared" si="1"/>
        <v>81250</v>
      </c>
      <c r="M29" s="1075">
        <f t="shared" si="1"/>
        <v>0</v>
      </c>
    </row>
    <row r="30" spans="1:13" ht="15" customHeight="1">
      <c r="A30" s="1078"/>
      <c r="B30" s="1077" t="s">
        <v>287</v>
      </c>
      <c r="C30" s="1073"/>
      <c r="D30" s="1073"/>
      <c r="E30" s="1073"/>
      <c r="F30" s="1073">
        <v>7900</v>
      </c>
      <c r="G30" s="1073">
        <v>7900</v>
      </c>
      <c r="H30" s="1073"/>
      <c r="I30" s="1073"/>
      <c r="J30" s="1073"/>
      <c r="K30" s="1074">
        <f t="shared" si="0"/>
        <v>7900</v>
      </c>
      <c r="L30" s="1074">
        <f t="shared" si="1"/>
        <v>7900</v>
      </c>
      <c r="M30" s="1075">
        <f t="shared" si="1"/>
        <v>0</v>
      </c>
    </row>
    <row r="31" spans="1:13" ht="15" customHeight="1">
      <c r="A31" s="1237" t="s">
        <v>296</v>
      </c>
      <c r="B31" s="1238"/>
      <c r="C31" s="1073"/>
      <c r="D31" s="1073"/>
      <c r="E31" s="1073"/>
      <c r="F31" s="1073">
        <f>F28-F29</f>
        <v>162500</v>
      </c>
      <c r="G31" s="1073">
        <v>162500</v>
      </c>
      <c r="H31" s="1073"/>
      <c r="I31" s="1073"/>
      <c r="J31" s="1073"/>
      <c r="K31" s="1074">
        <f t="shared" si="0"/>
        <v>162500</v>
      </c>
      <c r="L31" s="1074">
        <f t="shared" si="1"/>
        <v>162500</v>
      </c>
      <c r="M31" s="1075">
        <f t="shared" si="1"/>
        <v>0</v>
      </c>
    </row>
    <row r="32" spans="1:13" ht="15" customHeight="1">
      <c r="A32" s="1078"/>
      <c r="B32" s="1077" t="s">
        <v>286</v>
      </c>
      <c r="C32" s="1073"/>
      <c r="D32" s="1073"/>
      <c r="E32" s="1073"/>
      <c r="F32" s="1073">
        <v>81250</v>
      </c>
      <c r="G32" s="1073">
        <v>81250</v>
      </c>
      <c r="H32" s="1073"/>
      <c r="I32" s="1073"/>
      <c r="J32" s="1073"/>
      <c r="K32" s="1074">
        <f t="shared" si="0"/>
        <v>81250</v>
      </c>
      <c r="L32" s="1074">
        <f t="shared" si="1"/>
        <v>81250</v>
      </c>
      <c r="M32" s="1075">
        <f t="shared" si="1"/>
        <v>0</v>
      </c>
    </row>
    <row r="33" spans="1:13" ht="15" customHeight="1">
      <c r="A33" s="1078"/>
      <c r="B33" s="1077" t="s">
        <v>287</v>
      </c>
      <c r="C33" s="1073"/>
      <c r="D33" s="1073"/>
      <c r="E33" s="1073"/>
      <c r="F33" s="1073">
        <v>5025</v>
      </c>
      <c r="G33" s="1073">
        <v>5025</v>
      </c>
      <c r="H33" s="1073"/>
      <c r="I33" s="1073"/>
      <c r="J33" s="1073"/>
      <c r="K33" s="1074">
        <f t="shared" si="0"/>
        <v>5025</v>
      </c>
      <c r="L33" s="1074">
        <f t="shared" si="1"/>
        <v>5025</v>
      </c>
      <c r="M33" s="1075">
        <f t="shared" si="1"/>
        <v>0</v>
      </c>
    </row>
    <row r="34" spans="1:13" ht="15" customHeight="1">
      <c r="A34" s="1237" t="s">
        <v>297</v>
      </c>
      <c r="B34" s="1238"/>
      <c r="C34" s="1073"/>
      <c r="D34" s="1073"/>
      <c r="E34" s="1073"/>
      <c r="F34" s="1073">
        <f>F31-F32</f>
        <v>81250</v>
      </c>
      <c r="G34" s="1073">
        <v>81250</v>
      </c>
      <c r="H34" s="1073"/>
      <c r="I34" s="1073"/>
      <c r="J34" s="1073"/>
      <c r="K34" s="1074">
        <f t="shared" si="0"/>
        <v>81250</v>
      </c>
      <c r="L34" s="1074">
        <f t="shared" si="1"/>
        <v>81250</v>
      </c>
      <c r="M34" s="1075">
        <f t="shared" si="1"/>
        <v>0</v>
      </c>
    </row>
    <row r="35" spans="1:13" ht="15" customHeight="1">
      <c r="A35" s="1078"/>
      <c r="B35" s="1077" t="s">
        <v>286</v>
      </c>
      <c r="C35" s="1073"/>
      <c r="D35" s="1073"/>
      <c r="E35" s="1073"/>
      <c r="F35" s="1073">
        <v>81250</v>
      </c>
      <c r="G35" s="1073">
        <v>81250</v>
      </c>
      <c r="H35" s="1073"/>
      <c r="I35" s="1073"/>
      <c r="J35" s="1073"/>
      <c r="K35" s="1074">
        <f t="shared" si="0"/>
        <v>81250</v>
      </c>
      <c r="L35" s="1074">
        <f t="shared" si="1"/>
        <v>81250</v>
      </c>
      <c r="M35" s="1075">
        <f t="shared" si="1"/>
        <v>0</v>
      </c>
    </row>
    <row r="36" spans="1:13" ht="15" customHeight="1" thickBot="1">
      <c r="A36" s="1079"/>
      <c r="B36" s="1080" t="s">
        <v>287</v>
      </c>
      <c r="C36" s="1081"/>
      <c r="D36" s="1081"/>
      <c r="E36" s="1081"/>
      <c r="F36" s="1081">
        <v>2150</v>
      </c>
      <c r="G36" s="1081">
        <v>2150</v>
      </c>
      <c r="H36" s="1081"/>
      <c r="I36" s="1081"/>
      <c r="J36" s="1081"/>
      <c r="K36" s="1082">
        <f t="shared" si="0"/>
        <v>2150</v>
      </c>
      <c r="L36" s="1082">
        <f t="shared" si="1"/>
        <v>2150</v>
      </c>
      <c r="M36" s="1083">
        <f t="shared" si="1"/>
        <v>0</v>
      </c>
    </row>
    <row r="37" spans="1:13" ht="14.25" customHeight="1">
      <c r="A37" s="1084"/>
      <c r="B37" s="1084"/>
      <c r="C37" s="1084"/>
      <c r="D37" s="1084"/>
      <c r="E37" s="1084"/>
      <c r="F37" s="1084"/>
      <c r="G37" s="1084"/>
      <c r="H37" s="1084"/>
      <c r="I37" s="1084"/>
      <c r="J37" s="1084"/>
      <c r="K37" s="1084"/>
      <c r="L37" s="1068"/>
      <c r="M37" s="1068"/>
    </row>
    <row r="38" spans="1:13" ht="14.25" customHeight="1">
      <c r="A38" s="1084"/>
      <c r="B38" s="1084"/>
      <c r="C38" s="1084"/>
      <c r="D38" s="1084"/>
      <c r="E38" s="1084"/>
      <c r="F38" s="1084"/>
      <c r="G38" s="1084"/>
      <c r="H38" s="1084"/>
      <c r="I38" s="1084"/>
      <c r="J38" s="1084"/>
      <c r="K38" s="1084"/>
      <c r="L38" s="1068"/>
      <c r="M38" s="1068"/>
    </row>
    <row r="39" spans="1:13" ht="14.25" customHeight="1">
      <c r="A39" s="1253" t="s">
        <v>1247</v>
      </c>
      <c r="B39" s="1253"/>
      <c r="C39" s="1253"/>
      <c r="D39" s="1253"/>
      <c r="E39" s="1253"/>
      <c r="F39" s="1253"/>
      <c r="G39" s="1253"/>
      <c r="H39" s="1253"/>
      <c r="I39" s="1253"/>
      <c r="J39" s="1253"/>
      <c r="K39" s="1253"/>
      <c r="L39" s="1253"/>
      <c r="M39" s="1253"/>
    </row>
    <row r="40" spans="1:13" ht="14.25" customHeight="1" thickBot="1">
      <c r="A40" s="1084"/>
      <c r="B40" s="1084"/>
      <c r="C40" s="1084"/>
      <c r="D40" s="1084"/>
      <c r="E40" s="1084"/>
      <c r="F40" s="1084"/>
      <c r="G40" s="1085"/>
      <c r="H40" s="1085"/>
      <c r="I40" s="1086"/>
      <c r="J40" s="1086"/>
      <c r="K40" s="1086"/>
      <c r="L40" s="1068"/>
      <c r="M40" s="1086"/>
    </row>
    <row r="41" spans="1:13" ht="27.75" customHeight="1">
      <c r="A41" s="1241" t="s">
        <v>1248</v>
      </c>
      <c r="B41" s="1240"/>
      <c r="C41" s="1240" t="s">
        <v>1249</v>
      </c>
      <c r="D41" s="1240"/>
      <c r="E41" s="1240" t="s">
        <v>1250</v>
      </c>
      <c r="F41" s="1240"/>
      <c r="G41" s="1240" t="s">
        <v>1251</v>
      </c>
      <c r="H41" s="1240"/>
      <c r="I41" s="1240" t="s">
        <v>1252</v>
      </c>
      <c r="J41" s="1240"/>
      <c r="K41" s="1240" t="s">
        <v>1253</v>
      </c>
      <c r="L41" s="1240"/>
      <c r="M41" s="1252"/>
    </row>
    <row r="42" spans="1:13" ht="38.25" customHeight="1">
      <c r="A42" s="1247">
        <v>1842</v>
      </c>
      <c r="B42" s="1245"/>
      <c r="C42" s="1245" t="s">
        <v>1254</v>
      </c>
      <c r="D42" s="1245"/>
      <c r="E42" s="1256" t="s">
        <v>1255</v>
      </c>
      <c r="F42" s="1256"/>
      <c r="G42" s="1246">
        <v>42025</v>
      </c>
      <c r="H42" s="1246"/>
      <c r="I42" s="1245" t="s">
        <v>1256</v>
      </c>
      <c r="J42" s="1245"/>
      <c r="K42" s="1245" t="s">
        <v>1257</v>
      </c>
      <c r="L42" s="1245"/>
      <c r="M42" s="1251"/>
    </row>
    <row r="43" spans="1:13" ht="36.75" customHeight="1">
      <c r="A43" s="1247">
        <v>1842</v>
      </c>
      <c r="B43" s="1245"/>
      <c r="C43" s="1245" t="s">
        <v>1254</v>
      </c>
      <c r="D43" s="1245"/>
      <c r="E43" s="1256" t="s">
        <v>1258</v>
      </c>
      <c r="F43" s="1256"/>
      <c r="G43" s="1246">
        <v>42270</v>
      </c>
      <c r="H43" s="1246"/>
      <c r="I43" s="1245" t="s">
        <v>1259</v>
      </c>
      <c r="J43" s="1245"/>
      <c r="K43" s="1245" t="s">
        <v>1260</v>
      </c>
      <c r="L43" s="1245"/>
      <c r="M43" s="1251"/>
    </row>
    <row r="44" spans="1:13" ht="39" customHeight="1" thickBot="1">
      <c r="A44" s="1248" t="s">
        <v>1261</v>
      </c>
      <c r="B44" s="1244"/>
      <c r="C44" s="1244" t="s">
        <v>1262</v>
      </c>
      <c r="D44" s="1244"/>
      <c r="E44" s="1254" t="s">
        <v>1263</v>
      </c>
      <c r="F44" s="1254"/>
      <c r="G44" s="1255">
        <v>41764</v>
      </c>
      <c r="H44" s="1255"/>
      <c r="I44" s="1244" t="s">
        <v>1264</v>
      </c>
      <c r="J44" s="1244"/>
      <c r="K44" s="1244" t="s">
        <v>1265</v>
      </c>
      <c r="L44" s="1244"/>
      <c r="M44" s="1250"/>
    </row>
    <row r="45" spans="1:13" ht="14.25" customHeight="1">
      <c r="A45" s="1084"/>
      <c r="B45" s="1084"/>
      <c r="C45" s="1084"/>
      <c r="D45" s="1084"/>
      <c r="E45" s="1084"/>
      <c r="F45" s="1084"/>
      <c r="G45" s="1084"/>
      <c r="H45" s="1084"/>
      <c r="I45" s="1084"/>
      <c r="J45" s="1084"/>
      <c r="K45" s="1084"/>
      <c r="L45" s="1068"/>
      <c r="M45" s="1068"/>
    </row>
    <row r="46" spans="1:13" ht="14.25" customHeight="1">
      <c r="A46" s="1084"/>
      <c r="B46" s="1084"/>
      <c r="C46" s="1084"/>
      <c r="D46" s="1084"/>
      <c r="E46" s="1084"/>
      <c r="F46" s="1084"/>
      <c r="G46" s="1084"/>
      <c r="H46" s="1084"/>
      <c r="I46" s="1084"/>
      <c r="J46" s="1084"/>
      <c r="K46" s="1084"/>
      <c r="L46" s="1068"/>
      <c r="M46" s="1068"/>
    </row>
    <row r="47" spans="1:13" ht="14.25" customHeight="1">
      <c r="A47" s="1084"/>
      <c r="B47" s="1084"/>
      <c r="C47" s="1084"/>
      <c r="D47" s="1084"/>
      <c r="E47" s="1084"/>
      <c r="F47" s="1084"/>
      <c r="G47" s="1084"/>
      <c r="H47" s="1084"/>
      <c r="I47" s="1084"/>
      <c r="J47" s="1084"/>
      <c r="K47" s="1084"/>
      <c r="L47" s="1068"/>
      <c r="M47" s="1068"/>
    </row>
    <row r="48" spans="1:13" ht="14.25" customHeight="1">
      <c r="A48" s="1084"/>
      <c r="B48" s="1084"/>
      <c r="C48" s="1084"/>
      <c r="D48" s="1084"/>
      <c r="E48" s="1084"/>
      <c r="F48" s="1084"/>
      <c r="G48" s="1084"/>
      <c r="H48" s="1084"/>
      <c r="I48" s="1084"/>
      <c r="J48" s="1084"/>
      <c r="K48" s="1084"/>
      <c r="L48" s="1068"/>
      <c r="M48" s="1068"/>
    </row>
    <row r="49" spans="1:13" ht="14.25" customHeight="1">
      <c r="A49" s="1084"/>
      <c r="B49" s="1084"/>
      <c r="C49" s="1084"/>
      <c r="D49" s="1084"/>
      <c r="E49" s="1084"/>
      <c r="F49" s="1084"/>
      <c r="G49" s="1084"/>
      <c r="H49" s="1084"/>
      <c r="I49" s="1084"/>
      <c r="J49" s="1084"/>
      <c r="K49" s="1084"/>
      <c r="L49" s="1068"/>
      <c r="M49" s="1068"/>
    </row>
    <row r="50" spans="1:13" ht="14.25" customHeight="1">
      <c r="A50" s="1084"/>
      <c r="B50" s="1084"/>
      <c r="C50" s="1084"/>
      <c r="D50" s="1084"/>
      <c r="E50" s="1084"/>
      <c r="F50" s="1084"/>
      <c r="G50" s="1084"/>
      <c r="H50" s="1084"/>
      <c r="I50" s="1084"/>
      <c r="J50" s="1084"/>
      <c r="K50" s="1084"/>
      <c r="L50" s="1068"/>
      <c r="M50" s="1068"/>
    </row>
    <row r="51" spans="1:13" ht="14.25" customHeight="1">
      <c r="A51" s="1084"/>
      <c r="B51" s="1084"/>
      <c r="C51" s="1084"/>
      <c r="D51" s="1084"/>
      <c r="E51" s="1084"/>
      <c r="F51" s="1084"/>
      <c r="G51" s="1084"/>
      <c r="H51" s="1084"/>
      <c r="I51" s="1084"/>
      <c r="J51" s="1084"/>
      <c r="K51" s="1084"/>
      <c r="L51" s="1068"/>
      <c r="M51" s="1068"/>
    </row>
    <row r="52" spans="1:13" ht="14.25" customHeight="1">
      <c r="A52" s="1084"/>
      <c r="B52" s="1084"/>
      <c r="C52" s="1084"/>
      <c r="D52" s="1084"/>
      <c r="E52" s="1084"/>
      <c r="F52" s="1084"/>
      <c r="G52" s="1084"/>
      <c r="H52" s="1084"/>
      <c r="I52" s="1084"/>
      <c r="J52" s="1084"/>
      <c r="K52" s="1084"/>
      <c r="L52" s="1068"/>
      <c r="M52" s="1068"/>
    </row>
    <row r="53" spans="1:13" ht="14.25" customHeight="1">
      <c r="A53" s="1084"/>
      <c r="B53" s="1084"/>
      <c r="C53" s="1084"/>
      <c r="D53" s="1084"/>
      <c r="E53" s="1084"/>
      <c r="F53" s="1084"/>
      <c r="G53" s="1084"/>
      <c r="H53" s="1084"/>
      <c r="I53" s="1084"/>
      <c r="J53" s="1084"/>
      <c r="K53" s="1084"/>
      <c r="L53" s="1068"/>
      <c r="M53" s="1068"/>
    </row>
    <row r="54" spans="1:13" ht="14.25" customHeight="1">
      <c r="A54" s="1084"/>
      <c r="B54" s="1084"/>
      <c r="C54" s="1084"/>
      <c r="D54" s="1084"/>
      <c r="E54" s="1084"/>
      <c r="F54" s="1084"/>
      <c r="G54" s="1084"/>
      <c r="H54" s="1084"/>
      <c r="I54" s="1084"/>
      <c r="J54" s="1084"/>
      <c r="K54" s="1084"/>
      <c r="L54" s="1068"/>
      <c r="M54" s="1068"/>
    </row>
    <row r="55" spans="1:13" ht="14.25" customHeight="1">
      <c r="A55" s="1084"/>
      <c r="B55" s="1084"/>
      <c r="C55" s="1084"/>
      <c r="D55" s="1084"/>
      <c r="E55" s="1084"/>
      <c r="F55" s="1084"/>
      <c r="G55" s="1084"/>
      <c r="H55" s="1084"/>
      <c r="I55" s="1084"/>
      <c r="J55" s="1084"/>
      <c r="K55" s="1084"/>
      <c r="L55" s="1068"/>
      <c r="M55" s="1068"/>
    </row>
  </sheetData>
  <sheetProtection selectLockedCells="1" selectUnlockedCells="1"/>
  <mergeCells count="39">
    <mergeCell ref="C41:D41"/>
    <mergeCell ref="C42:D42"/>
    <mergeCell ref="C43:D43"/>
    <mergeCell ref="E44:F44"/>
    <mergeCell ref="G43:H43"/>
    <mergeCell ref="G44:H44"/>
    <mergeCell ref="E41:F41"/>
    <mergeCell ref="E42:F42"/>
    <mergeCell ref="E43:F43"/>
    <mergeCell ref="A22:B22"/>
    <mergeCell ref="A25:B25"/>
    <mergeCell ref="A28:B28"/>
    <mergeCell ref="A1:M1"/>
    <mergeCell ref="K44:M44"/>
    <mergeCell ref="K43:M43"/>
    <mergeCell ref="K42:M42"/>
    <mergeCell ref="K41:M41"/>
    <mergeCell ref="A39:M39"/>
    <mergeCell ref="C44:D44"/>
    <mergeCell ref="I44:J44"/>
    <mergeCell ref="I43:J43"/>
    <mergeCell ref="I42:J42"/>
    <mergeCell ref="A31:B31"/>
    <mergeCell ref="A34:B34"/>
    <mergeCell ref="G41:H41"/>
    <mergeCell ref="G42:H42"/>
    <mergeCell ref="A42:B42"/>
    <mergeCell ref="A43:B43"/>
    <mergeCell ref="A44:B44"/>
    <mergeCell ref="A13:B13"/>
    <mergeCell ref="A16:B16"/>
    <mergeCell ref="A10:B10"/>
    <mergeCell ref="A3:M3"/>
    <mergeCell ref="I41:J41"/>
    <mergeCell ref="A41:B41"/>
    <mergeCell ref="A4:K4"/>
    <mergeCell ref="A6:B6"/>
    <mergeCell ref="A7:B7"/>
    <mergeCell ref="A19:B19"/>
  </mergeCells>
  <printOptions horizontalCentered="1"/>
  <pageMargins left="0.7874015748031497" right="0.7874015748031497" top="0.7874015748031497" bottom="0.7874015748031497" header="0.5118110236220472" footer="0.5118110236220472"/>
  <pageSetup firstPageNumber="1" useFirstPageNumber="1" fitToWidth="0" fitToHeight="1" horizontalDpi="300" verticalDpi="300" orientation="landscape" paperSize="9" scale="50" r:id="rId1"/>
  <headerFooter alignWithMargins="0">
    <oddHeader>&amp;L14. melléklet a 16/2016.(V.26.)    önkormányzati rendelethez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view="pageBreakPreview" zoomScale="90" zoomScaleNormal="79" zoomScaleSheetLayoutView="90" zoomScalePageLayoutView="0" workbookViewId="0" topLeftCell="A1">
      <selection activeCell="A2" sqref="A2:F2"/>
    </sheetView>
  </sheetViews>
  <sheetFormatPr defaultColWidth="9.00390625" defaultRowHeight="12.75"/>
  <cols>
    <col min="1" max="1" width="51.125" style="619" customWidth="1"/>
    <col min="2" max="2" width="10.75390625" style="619" customWidth="1"/>
    <col min="3" max="3" width="11.125" style="619" customWidth="1"/>
    <col min="4" max="4" width="10.625" style="619" customWidth="1"/>
    <col min="5" max="5" width="10.875" style="619" customWidth="1"/>
    <col min="6" max="6" width="15.125" style="619" customWidth="1"/>
    <col min="7" max="16384" width="9.125" style="619" customWidth="1"/>
  </cols>
  <sheetData>
    <row r="1" spans="1:6" ht="42.75" customHeight="1">
      <c r="A1" s="1257" t="s">
        <v>1208</v>
      </c>
      <c r="B1" s="1258"/>
      <c r="C1" s="1258"/>
      <c r="D1" s="1258"/>
      <c r="E1" s="1258"/>
      <c r="F1" s="1259"/>
    </row>
    <row r="2" spans="1:6" s="627" customFormat="1" ht="15">
      <c r="A2" s="1090"/>
      <c r="B2" s="628"/>
      <c r="C2" s="628"/>
      <c r="D2" s="628"/>
      <c r="E2" s="628"/>
      <c r="F2" s="1090"/>
    </row>
    <row r="3" spans="1:6" ht="42" customHeight="1">
      <c r="A3" s="1260" t="s">
        <v>621</v>
      </c>
      <c r="B3" s="1261" t="s">
        <v>1082</v>
      </c>
      <c r="C3" s="1261"/>
      <c r="D3" s="1261"/>
      <c r="E3" s="1261"/>
      <c r="F3" s="1260" t="s">
        <v>257</v>
      </c>
    </row>
    <row r="4" spans="1:6" ht="66.75" customHeight="1">
      <c r="A4" s="1260"/>
      <c r="B4" s="620" t="s">
        <v>1083</v>
      </c>
      <c r="C4" s="620" t="s">
        <v>1084</v>
      </c>
      <c r="D4" s="620" t="s">
        <v>1085</v>
      </c>
      <c r="E4" s="620" t="s">
        <v>1086</v>
      </c>
      <c r="F4" s="1260"/>
    </row>
    <row r="5" spans="1:6" ht="15">
      <c r="A5" s="623" t="s">
        <v>1087</v>
      </c>
      <c r="B5" s="621">
        <v>1978030</v>
      </c>
      <c r="C5" s="621">
        <v>2002530</v>
      </c>
      <c r="D5" s="621">
        <v>2017000</v>
      </c>
      <c r="E5" s="621">
        <v>2017000</v>
      </c>
      <c r="F5" s="621">
        <f aca="true" t="shared" si="0" ref="F5:F19">SUM(B5:E5)</f>
        <v>8014560</v>
      </c>
    </row>
    <row r="6" spans="1:6" ht="28.5">
      <c r="A6" s="623" t="s">
        <v>1088</v>
      </c>
      <c r="B6" s="621">
        <v>11160</v>
      </c>
      <c r="C6" s="621">
        <v>3500</v>
      </c>
      <c r="D6" s="621">
        <v>3500</v>
      </c>
      <c r="E6" s="621">
        <v>3500</v>
      </c>
      <c r="F6" s="621">
        <f t="shared" si="0"/>
        <v>21660</v>
      </c>
    </row>
    <row r="7" spans="1:6" ht="15">
      <c r="A7" s="623" t="s">
        <v>1089</v>
      </c>
      <c r="B7" s="621">
        <v>102103</v>
      </c>
      <c r="C7" s="621">
        <f>SUM(C12+C10+C9+C8)</f>
        <v>95800</v>
      </c>
      <c r="D7" s="621">
        <f>SUM(D12+D10+D9+D8)</f>
        <v>94800</v>
      </c>
      <c r="E7" s="621">
        <f>SUM(E12+E10+E9+E8)</f>
        <v>91100</v>
      </c>
      <c r="F7" s="621">
        <f t="shared" si="0"/>
        <v>383803</v>
      </c>
    </row>
    <row r="8" spans="1:6" ht="15">
      <c r="A8" s="624" t="s">
        <v>1090</v>
      </c>
      <c r="B8" s="622">
        <v>2218</v>
      </c>
      <c r="C8" s="622">
        <v>1800</v>
      </c>
      <c r="D8" s="622">
        <v>1800</v>
      </c>
      <c r="E8" s="622">
        <v>1100</v>
      </c>
      <c r="F8" s="622">
        <f t="shared" si="0"/>
        <v>6918</v>
      </c>
    </row>
    <row r="9" spans="1:6" ht="30.75" customHeight="1">
      <c r="A9" s="624" t="s">
        <v>1091</v>
      </c>
      <c r="B9" s="622">
        <v>6870</v>
      </c>
      <c r="C9" s="622">
        <v>10000</v>
      </c>
      <c r="D9" s="622">
        <v>10000</v>
      </c>
      <c r="E9" s="622">
        <v>10000</v>
      </c>
      <c r="F9" s="622">
        <f t="shared" si="0"/>
        <v>36870</v>
      </c>
    </row>
    <row r="10" spans="1:6" ht="31.5" customHeight="1">
      <c r="A10" s="624" t="s">
        <v>1092</v>
      </c>
      <c r="B10" s="622">
        <v>75515</v>
      </c>
      <c r="C10" s="622">
        <v>72000</v>
      </c>
      <c r="D10" s="622">
        <v>71000</v>
      </c>
      <c r="E10" s="622">
        <v>70000</v>
      </c>
      <c r="F10" s="622">
        <f t="shared" si="0"/>
        <v>288515</v>
      </c>
    </row>
    <row r="11" spans="1:6" ht="15">
      <c r="A11" s="624" t="s">
        <v>1093</v>
      </c>
      <c r="B11" s="622">
        <v>42000</v>
      </c>
      <c r="C11" s="622">
        <v>39000</v>
      </c>
      <c r="D11" s="622">
        <v>38000</v>
      </c>
      <c r="E11" s="622">
        <v>37000</v>
      </c>
      <c r="F11" s="622">
        <f t="shared" si="0"/>
        <v>156000</v>
      </c>
    </row>
    <row r="12" spans="1:6" ht="15">
      <c r="A12" s="624" t="s">
        <v>1094</v>
      </c>
      <c r="B12" s="622">
        <v>17500</v>
      </c>
      <c r="C12" s="622">
        <v>12000</v>
      </c>
      <c r="D12" s="622">
        <v>12000</v>
      </c>
      <c r="E12" s="622">
        <v>10000</v>
      </c>
      <c r="F12" s="622">
        <f t="shared" si="0"/>
        <v>51500</v>
      </c>
    </row>
    <row r="13" spans="1:6" ht="60" customHeight="1">
      <c r="A13" s="623" t="s">
        <v>1095</v>
      </c>
      <c r="B13" s="621">
        <v>631119</v>
      </c>
      <c r="C13" s="621">
        <v>70000</v>
      </c>
      <c r="D13" s="621">
        <v>69000</v>
      </c>
      <c r="E13" s="621">
        <v>68000</v>
      </c>
      <c r="F13" s="621">
        <f t="shared" si="0"/>
        <v>838119</v>
      </c>
    </row>
    <row r="14" spans="1:6" ht="15">
      <c r="A14" s="623" t="s">
        <v>1096</v>
      </c>
      <c r="B14" s="621">
        <f>SUM(B5+B6+B7+B13)</f>
        <v>2722412</v>
      </c>
      <c r="C14" s="621">
        <f>SUM(C5+C6+C7+C13)</f>
        <v>2171830</v>
      </c>
      <c r="D14" s="621">
        <f>SUM(D5+D6+D7+D13)</f>
        <v>2184300</v>
      </c>
      <c r="E14" s="621">
        <f>SUM(E5+E6+E7+E13)</f>
        <v>2179600</v>
      </c>
      <c r="F14" s="621">
        <f t="shared" si="0"/>
        <v>9258142</v>
      </c>
    </row>
    <row r="15" spans="1:6" ht="15">
      <c r="A15" s="623" t="s">
        <v>1097</v>
      </c>
      <c r="B15" s="621">
        <f>B14/2</f>
        <v>1361206</v>
      </c>
      <c r="C15" s="621">
        <f>C14/2</f>
        <v>1085915</v>
      </c>
      <c r="D15" s="621">
        <f>D14/2</f>
        <v>1092150</v>
      </c>
      <c r="E15" s="621">
        <f>E14/2</f>
        <v>1089800</v>
      </c>
      <c r="F15" s="621">
        <f t="shared" si="0"/>
        <v>4629071</v>
      </c>
    </row>
    <row r="16" spans="1:6" ht="33" customHeight="1">
      <c r="A16" s="623" t="s">
        <v>1098</v>
      </c>
      <c r="B16" s="621">
        <f>SUM(B17)</f>
        <v>94955</v>
      </c>
      <c r="C16" s="621">
        <f>SUM(C17)</f>
        <v>130716</v>
      </c>
      <c r="D16" s="621">
        <f>SUM(D17)</f>
        <v>127774</v>
      </c>
      <c r="E16" s="621">
        <f>SUM(E17)</f>
        <v>124833</v>
      </c>
      <c r="F16" s="621">
        <f t="shared" si="0"/>
        <v>478278</v>
      </c>
    </row>
    <row r="17" spans="1:6" ht="15">
      <c r="A17" s="624" t="s">
        <v>1099</v>
      </c>
      <c r="B17" s="621">
        <v>94955</v>
      </c>
      <c r="C17" s="621">
        <v>130716</v>
      </c>
      <c r="D17" s="621">
        <v>127774</v>
      </c>
      <c r="E17" s="621">
        <v>124833</v>
      </c>
      <c r="F17" s="622">
        <f t="shared" si="0"/>
        <v>478278</v>
      </c>
    </row>
    <row r="18" spans="1:6" ht="30.75" customHeight="1">
      <c r="A18" s="623" t="s">
        <v>1100</v>
      </c>
      <c r="B18" s="621">
        <v>0</v>
      </c>
      <c r="C18" s="621">
        <v>0</v>
      </c>
      <c r="D18" s="621">
        <v>0</v>
      </c>
      <c r="E18" s="621">
        <v>0</v>
      </c>
      <c r="F18" s="621">
        <f t="shared" si="0"/>
        <v>0</v>
      </c>
    </row>
    <row r="19" spans="1:6" ht="27.75" customHeight="1">
      <c r="A19" s="623" t="s">
        <v>1101</v>
      </c>
      <c r="B19" s="621">
        <f>B16+B18</f>
        <v>94955</v>
      </c>
      <c r="C19" s="621">
        <f>C16+C18</f>
        <v>130716</v>
      </c>
      <c r="D19" s="621">
        <f>D16+D18</f>
        <v>127774</v>
      </c>
      <c r="E19" s="621">
        <f>E16+E18</f>
        <v>124833</v>
      </c>
      <c r="F19" s="621">
        <f t="shared" si="0"/>
        <v>478278</v>
      </c>
    </row>
    <row r="20" spans="1:6" ht="28.5">
      <c r="A20" s="625" t="s">
        <v>1102</v>
      </c>
      <c r="B20" s="626">
        <f>B15-B19</f>
        <v>1266251</v>
      </c>
      <c r="C20" s="626">
        <f>C15-C19</f>
        <v>955199</v>
      </c>
      <c r="D20" s="626">
        <f>D15-D19</f>
        <v>964376</v>
      </c>
      <c r="E20" s="626">
        <f>E15-E19</f>
        <v>964967</v>
      </c>
      <c r="F20" s="626">
        <f>F15-F19</f>
        <v>4150793</v>
      </c>
    </row>
  </sheetData>
  <sheetProtection selectLockedCells="1" selectUnlockedCells="1"/>
  <mergeCells count="4">
    <mergeCell ref="A1:F1"/>
    <mergeCell ref="A3:A4"/>
    <mergeCell ref="B3:E3"/>
    <mergeCell ref="F3:F4"/>
  </mergeCells>
  <printOptions/>
  <pageMargins left="0.7086614173228347" right="0.7086614173228347" top="0.7480314960629921" bottom="0.7480314960629921" header="0.31496062992125984" footer="0.5118110236220472"/>
  <pageSetup fitToHeight="1" fitToWidth="1" horizontalDpi="300" verticalDpi="300" orientation="portrait" paperSize="9" scale="80" r:id="rId1"/>
  <headerFooter alignWithMargins="0">
    <oddHeader>&amp;L14. melléklet a 16/2016.(V.26.)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12"/>
  <sheetViews>
    <sheetView zoomScale="64" zoomScaleNormal="64" zoomScalePageLayoutView="0" workbookViewId="0" topLeftCell="A34">
      <selection activeCell="B24" sqref="B24:L24"/>
    </sheetView>
  </sheetViews>
  <sheetFormatPr defaultColWidth="9.00390625" defaultRowHeight="12.75"/>
  <cols>
    <col min="1" max="1" width="25.875" style="599" customWidth="1"/>
    <col min="2" max="2" width="42.125" style="599" customWidth="1"/>
    <col min="3" max="3" width="27.75390625" style="599" customWidth="1"/>
    <col min="4" max="4" width="18.625" style="599" customWidth="1"/>
    <col min="5" max="5" width="20.375" style="599" customWidth="1"/>
    <col min="6" max="6" width="18.375" style="599" customWidth="1"/>
    <col min="7" max="7" width="23.625" style="599" customWidth="1"/>
    <col min="8" max="8" width="23.00390625" style="599" customWidth="1"/>
    <col min="9" max="9" width="21.125" style="599" customWidth="1"/>
    <col min="10" max="10" width="21.375" style="599" customWidth="1"/>
    <col min="11" max="11" width="23.125" style="599" customWidth="1"/>
    <col min="12" max="12" width="22.625" style="599" customWidth="1"/>
    <col min="13" max="16384" width="9.125" style="599" customWidth="1"/>
  </cols>
  <sheetData>
    <row r="1" spans="2:13" ht="25.5">
      <c r="B1" s="1267" t="s">
        <v>1103</v>
      </c>
      <c r="C1" s="1267"/>
      <c r="D1" s="1267"/>
      <c r="E1" s="1267"/>
      <c r="F1" s="1267"/>
      <c r="G1" s="1267"/>
      <c r="H1" s="1267"/>
      <c r="I1" s="1267"/>
      <c r="J1" s="1267"/>
      <c r="K1" s="1267"/>
      <c r="L1" s="1267"/>
      <c r="M1" s="1267"/>
    </row>
    <row r="2" spans="2:13" ht="26.25">
      <c r="B2" s="1091"/>
      <c r="C2" s="1091"/>
      <c r="D2" s="1091"/>
      <c r="E2" s="1091"/>
      <c r="F2" s="1091"/>
      <c r="G2" s="1091"/>
      <c r="H2" s="1091"/>
      <c r="I2" s="1091"/>
      <c r="J2" s="1091"/>
      <c r="K2" s="1092"/>
      <c r="L2" s="1092"/>
      <c r="M2" s="1092"/>
    </row>
    <row r="3" spans="2:13" ht="25.5">
      <c r="B3" s="1267" t="s">
        <v>1142</v>
      </c>
      <c r="C3" s="1267"/>
      <c r="D3" s="1267"/>
      <c r="E3" s="1267"/>
      <c r="F3" s="1267"/>
      <c r="G3" s="1267"/>
      <c r="H3" s="1267"/>
      <c r="I3" s="1267"/>
      <c r="J3" s="1267"/>
      <c r="K3" s="1267"/>
      <c r="L3" s="1267"/>
      <c r="M3" s="1267"/>
    </row>
    <row r="4" spans="2:13" ht="27" thickBot="1">
      <c r="B4" s="1092"/>
      <c r="C4" s="1092"/>
      <c r="D4" s="1092"/>
      <c r="E4" s="1092"/>
      <c r="F4" s="1092"/>
      <c r="G4" s="1092"/>
      <c r="H4" s="1092"/>
      <c r="I4" s="1092"/>
      <c r="J4" s="1092"/>
      <c r="K4" s="1092"/>
      <c r="L4" s="1092"/>
      <c r="M4" s="1092"/>
    </row>
    <row r="5" spans="2:13" ht="40.5" customHeight="1">
      <c r="B5" s="1092"/>
      <c r="C5" s="1262" t="s">
        <v>621</v>
      </c>
      <c r="D5" s="1264" t="s">
        <v>1104</v>
      </c>
      <c r="E5" s="1264"/>
      <c r="F5" s="1264"/>
      <c r="G5" s="1264"/>
      <c r="H5" s="1264"/>
      <c r="I5" s="1264"/>
      <c r="J5" s="1265" t="s">
        <v>1105</v>
      </c>
      <c r="K5" s="1092"/>
      <c r="L5" s="1092"/>
      <c r="M5" s="1092"/>
    </row>
    <row r="6" spans="2:13" ht="78.75">
      <c r="B6" s="1092"/>
      <c r="C6" s="1263"/>
      <c r="D6" s="1093" t="s">
        <v>1106</v>
      </c>
      <c r="E6" s="1093" t="s">
        <v>1107</v>
      </c>
      <c r="F6" s="1093" t="s">
        <v>1108</v>
      </c>
      <c r="G6" s="1093" t="s">
        <v>1109</v>
      </c>
      <c r="H6" s="1093" t="s">
        <v>1110</v>
      </c>
      <c r="I6" s="1094" t="s">
        <v>1111</v>
      </c>
      <c r="J6" s="1266"/>
      <c r="K6" s="1092"/>
      <c r="L6" s="1092"/>
      <c r="M6" s="1092"/>
    </row>
    <row r="7" spans="2:13" s="600" customFormat="1" ht="72.75" customHeight="1" thickBot="1">
      <c r="B7" s="1095"/>
      <c r="C7" s="1096" t="s">
        <v>1112</v>
      </c>
      <c r="D7" s="1097">
        <v>73265</v>
      </c>
      <c r="E7" s="1097">
        <v>111501</v>
      </c>
      <c r="F7" s="1097">
        <v>111501</v>
      </c>
      <c r="G7" s="1097">
        <v>111501</v>
      </c>
      <c r="H7" s="1097">
        <v>102745</v>
      </c>
      <c r="I7" s="1097">
        <v>305881</v>
      </c>
      <c r="J7" s="1098">
        <f>SUM(D7:I7)</f>
        <v>816394</v>
      </c>
      <c r="K7" s="1095"/>
      <c r="L7" s="1095"/>
      <c r="M7" s="1095"/>
    </row>
    <row r="8" spans="2:13" ht="26.25">
      <c r="B8" s="1092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</row>
    <row r="9" spans="2:13" ht="26.25">
      <c r="B9" s="1092"/>
      <c r="C9" s="1092"/>
      <c r="D9" s="1092"/>
      <c r="E9" s="1092"/>
      <c r="F9" s="1092"/>
      <c r="G9" s="1092"/>
      <c r="H9" s="1092"/>
      <c r="I9" s="1092"/>
      <c r="J9" s="1092"/>
      <c r="K9" s="1092"/>
      <c r="L9" s="1092"/>
      <c r="M9" s="1092"/>
    </row>
    <row r="10" spans="2:13" ht="26.25">
      <c r="B10" s="1267" t="s">
        <v>1113</v>
      </c>
      <c r="C10" s="1267"/>
      <c r="D10" s="1267"/>
      <c r="E10" s="1267"/>
      <c r="F10" s="1267"/>
      <c r="G10" s="1267"/>
      <c r="H10" s="1267"/>
      <c r="I10" s="1267"/>
      <c r="J10" s="1267"/>
      <c r="K10" s="1267"/>
      <c r="L10" s="1267"/>
      <c r="M10" s="1092"/>
    </row>
    <row r="11" spans="2:13" ht="27" thickBot="1">
      <c r="B11" s="1099"/>
      <c r="C11" s="1099"/>
      <c r="D11" s="1099"/>
      <c r="E11" s="1099"/>
      <c r="F11" s="1099"/>
      <c r="G11" s="1099"/>
      <c r="H11" s="1099"/>
      <c r="I11" s="1099"/>
      <c r="J11" s="1099"/>
      <c r="K11" s="1099"/>
      <c r="L11" s="1092"/>
      <c r="M11" s="1092"/>
    </row>
    <row r="12" spans="2:13" ht="21.75" customHeight="1">
      <c r="B12" s="1275" t="s">
        <v>621</v>
      </c>
      <c r="C12" s="1268" t="s">
        <v>1114</v>
      </c>
      <c r="D12" s="1264" t="s">
        <v>1115</v>
      </c>
      <c r="E12" s="1264"/>
      <c r="F12" s="1268" t="s">
        <v>1116</v>
      </c>
      <c r="G12" s="1268" t="s">
        <v>1117</v>
      </c>
      <c r="H12" s="1268" t="s">
        <v>1118</v>
      </c>
      <c r="I12" s="1268" t="s">
        <v>1119</v>
      </c>
      <c r="J12" s="1268" t="s">
        <v>1120</v>
      </c>
      <c r="K12" s="1265" t="s">
        <v>1121</v>
      </c>
      <c r="L12" s="1092"/>
      <c r="M12" s="1092"/>
    </row>
    <row r="13" spans="2:13" ht="26.25">
      <c r="B13" s="1276"/>
      <c r="C13" s="1269"/>
      <c r="D13" s="1274" t="s">
        <v>1122</v>
      </c>
      <c r="E13" s="1274" t="s">
        <v>1123</v>
      </c>
      <c r="F13" s="1269"/>
      <c r="G13" s="1269"/>
      <c r="H13" s="1269"/>
      <c r="I13" s="1269"/>
      <c r="J13" s="1269"/>
      <c r="K13" s="1266"/>
      <c r="L13" s="1092"/>
      <c r="M13" s="1092"/>
    </row>
    <row r="14" spans="2:13" ht="26.25">
      <c r="B14" s="1276"/>
      <c r="C14" s="1269"/>
      <c r="D14" s="1274"/>
      <c r="E14" s="1274"/>
      <c r="F14" s="1269"/>
      <c r="G14" s="1269"/>
      <c r="H14" s="1269"/>
      <c r="I14" s="1269"/>
      <c r="J14" s="1269"/>
      <c r="K14" s="1266"/>
      <c r="L14" s="1092"/>
      <c r="M14" s="1092"/>
    </row>
    <row r="15" spans="2:13" ht="52.5">
      <c r="B15" s="1100" t="s">
        <v>1124</v>
      </c>
      <c r="C15" s="1101" t="s">
        <v>1125</v>
      </c>
      <c r="D15" s="1102">
        <v>2013</v>
      </c>
      <c r="E15" s="1103">
        <v>250000</v>
      </c>
      <c r="F15" s="1104">
        <v>2016</v>
      </c>
      <c r="G15" s="1103">
        <v>162687</v>
      </c>
      <c r="H15" s="1105">
        <v>59262</v>
      </c>
      <c r="I15" s="1103">
        <f>G15+H15</f>
        <v>221949</v>
      </c>
      <c r="J15" s="1103">
        <v>0</v>
      </c>
      <c r="K15" s="1106">
        <v>0</v>
      </c>
      <c r="L15" s="1092"/>
      <c r="M15" s="1092"/>
    </row>
    <row r="16" spans="2:13" ht="52.5">
      <c r="B16" s="1100" t="s">
        <v>1126</v>
      </c>
      <c r="C16" s="1101" t="s">
        <v>1127</v>
      </c>
      <c r="D16" s="1102">
        <v>2014</v>
      </c>
      <c r="E16" s="1103">
        <v>650000</v>
      </c>
      <c r="F16" s="1104">
        <v>2024</v>
      </c>
      <c r="G16" s="1103">
        <v>0</v>
      </c>
      <c r="H16" s="1105">
        <v>555513</v>
      </c>
      <c r="I16" s="1103">
        <v>0</v>
      </c>
      <c r="J16" s="1103">
        <v>555513</v>
      </c>
      <c r="K16" s="1106">
        <v>38235</v>
      </c>
      <c r="L16" s="1092"/>
      <c r="M16" s="1092"/>
    </row>
    <row r="17" spans="2:13" ht="52.5">
      <c r="B17" s="1100" t="s">
        <v>1128</v>
      </c>
      <c r="C17" s="1101" t="s">
        <v>1129</v>
      </c>
      <c r="D17" s="1102">
        <v>2015</v>
      </c>
      <c r="E17" s="1103">
        <v>166394</v>
      </c>
      <c r="F17" s="1104">
        <v>2020</v>
      </c>
      <c r="G17" s="1103">
        <v>0</v>
      </c>
      <c r="H17" s="1105">
        <v>166394</v>
      </c>
      <c r="I17" s="1103">
        <v>0</v>
      </c>
      <c r="J17" s="1103">
        <v>166394</v>
      </c>
      <c r="K17" s="1106">
        <v>35030</v>
      </c>
      <c r="L17" s="1092"/>
      <c r="M17" s="1092"/>
    </row>
    <row r="18" spans="2:13" ht="27" thickBot="1">
      <c r="B18" s="1107" t="s">
        <v>1130</v>
      </c>
      <c r="C18" s="1108"/>
      <c r="D18" s="1108"/>
      <c r="E18" s="1109">
        <f>SUM(E15:E17)</f>
        <v>1066394</v>
      </c>
      <c r="F18" s="1109"/>
      <c r="G18" s="1109">
        <f>SUM(G15:G17)</f>
        <v>162687</v>
      </c>
      <c r="H18" s="1110">
        <f>SUM(H15:H17)</f>
        <v>781169</v>
      </c>
      <c r="I18" s="1109">
        <f>SUM(I15:I17)</f>
        <v>221949</v>
      </c>
      <c r="J18" s="1109">
        <f>SUM(J15:J17)</f>
        <v>721907</v>
      </c>
      <c r="K18" s="1111">
        <f>SUM(K15:K17)</f>
        <v>73265</v>
      </c>
      <c r="L18" s="1092"/>
      <c r="M18" s="1092"/>
    </row>
    <row r="19" spans="2:13" ht="26.25">
      <c r="B19" s="1092"/>
      <c r="C19" s="1092"/>
      <c r="D19" s="1092"/>
      <c r="E19" s="1092"/>
      <c r="F19" s="1092"/>
      <c r="G19" s="1092"/>
      <c r="H19" s="1092"/>
      <c r="I19" s="1092"/>
      <c r="J19" s="1092"/>
      <c r="K19" s="1092"/>
      <c r="L19" s="1092"/>
      <c r="M19" s="1092"/>
    </row>
    <row r="20" spans="2:13" ht="26.25">
      <c r="B20" s="1092"/>
      <c r="C20" s="1092"/>
      <c r="D20" s="1092"/>
      <c r="E20" s="1092"/>
      <c r="F20" s="1092"/>
      <c r="G20" s="1092"/>
      <c r="H20" s="1092"/>
      <c r="I20" s="1092"/>
      <c r="J20" s="1092"/>
      <c r="K20" s="1092"/>
      <c r="L20" s="1092"/>
      <c r="M20" s="1092"/>
    </row>
    <row r="21" spans="2:13" ht="26.25">
      <c r="B21" s="1092"/>
      <c r="C21" s="1092"/>
      <c r="D21" s="1092"/>
      <c r="E21" s="1112"/>
      <c r="F21" s="1112"/>
      <c r="G21" s="1112"/>
      <c r="H21" s="1112"/>
      <c r="I21" s="1112"/>
      <c r="J21" s="1092"/>
      <c r="K21" s="1092"/>
      <c r="L21" s="1092"/>
      <c r="M21" s="1092"/>
    </row>
    <row r="22" spans="2:13" ht="26.25">
      <c r="B22" s="1092"/>
      <c r="C22" s="1092"/>
      <c r="D22" s="1092"/>
      <c r="E22" s="1092"/>
      <c r="F22" s="1092"/>
      <c r="G22" s="1092"/>
      <c r="H22" s="1092"/>
      <c r="I22" s="1092"/>
      <c r="J22" s="1092"/>
      <c r="K22" s="1092"/>
      <c r="L22" s="1092"/>
      <c r="M22" s="1092"/>
    </row>
    <row r="23" spans="2:13" ht="38.25" customHeight="1">
      <c r="B23" s="1092"/>
      <c r="C23" s="1092"/>
      <c r="D23" s="1092"/>
      <c r="E23" s="1092"/>
      <c r="F23" s="1092"/>
      <c r="G23" s="1092"/>
      <c r="H23" s="1092"/>
      <c r="I23" s="1092"/>
      <c r="J23" s="1092"/>
      <c r="K23" s="1092"/>
      <c r="L23" s="1092"/>
      <c r="M23" s="1092"/>
    </row>
    <row r="24" spans="2:13" ht="150.75" customHeight="1">
      <c r="B24" s="1281" t="s">
        <v>1246</v>
      </c>
      <c r="C24" s="1281"/>
      <c r="D24" s="1281"/>
      <c r="E24" s="1281"/>
      <c r="F24" s="1281"/>
      <c r="G24" s="1281"/>
      <c r="H24" s="1281"/>
      <c r="I24" s="1281"/>
      <c r="J24" s="1281"/>
      <c r="K24" s="1281"/>
      <c r="L24" s="1281"/>
      <c r="M24" s="1092"/>
    </row>
    <row r="25" spans="2:13" ht="46.5" customHeight="1" thickBot="1">
      <c r="B25" s="1113"/>
      <c r="C25" s="1092"/>
      <c r="D25" s="1092"/>
      <c r="E25" s="1092"/>
      <c r="F25" s="1113"/>
      <c r="G25" s="1113"/>
      <c r="H25" s="1113"/>
      <c r="I25" s="1113"/>
      <c r="J25" s="1113"/>
      <c r="K25" s="1113"/>
      <c r="L25" s="1092"/>
      <c r="M25" s="1092"/>
    </row>
    <row r="26" spans="2:13" ht="180" customHeight="1">
      <c r="B26" s="1270" t="s">
        <v>1131</v>
      </c>
      <c r="C26" s="1271"/>
      <c r="D26" s="1271"/>
      <c r="E26" s="1271"/>
      <c r="F26" s="1114" t="s">
        <v>1132</v>
      </c>
      <c r="G26" s="1114" t="s">
        <v>1133</v>
      </c>
      <c r="H26" s="1114" t="s">
        <v>1134</v>
      </c>
      <c r="I26" s="1114" t="s">
        <v>1137</v>
      </c>
      <c r="J26" s="1114" t="s">
        <v>1135</v>
      </c>
      <c r="K26" s="1115" t="s">
        <v>1136</v>
      </c>
      <c r="L26" s="1092"/>
      <c r="M26" s="1092"/>
    </row>
    <row r="27" spans="2:13" ht="25.5" customHeight="1">
      <c r="B27" s="1272" t="s">
        <v>7</v>
      </c>
      <c r="C27" s="1273"/>
      <c r="D27" s="1273"/>
      <c r="E27" s="1273"/>
      <c r="F27" s="1116">
        <v>2015</v>
      </c>
      <c r="G27" s="1117">
        <v>535105</v>
      </c>
      <c r="H27" s="1118">
        <f aca="true" t="shared" si="0" ref="H27:H38">G27-I27</f>
        <v>440692</v>
      </c>
      <c r="I27" s="1118">
        <v>94413</v>
      </c>
      <c r="J27" s="1118"/>
      <c r="K27" s="1119"/>
      <c r="L27" s="1092"/>
      <c r="M27" s="1092"/>
    </row>
    <row r="28" spans="2:13" ht="76.5" customHeight="1">
      <c r="B28" s="1277" t="s">
        <v>8</v>
      </c>
      <c r="C28" s="1278"/>
      <c r="D28" s="1278"/>
      <c r="E28" s="1278"/>
      <c r="F28" s="1120">
        <v>2015</v>
      </c>
      <c r="G28" s="1117">
        <v>432626</v>
      </c>
      <c r="H28" s="1118">
        <f t="shared" si="0"/>
        <v>411881</v>
      </c>
      <c r="I28" s="1118">
        <v>20745</v>
      </c>
      <c r="J28" s="1118"/>
      <c r="K28" s="1119"/>
      <c r="L28" s="1092"/>
      <c r="M28" s="1092"/>
    </row>
    <row r="29" spans="2:13" ht="52.5" customHeight="1">
      <c r="B29" s="1277" t="s">
        <v>10</v>
      </c>
      <c r="C29" s="1278"/>
      <c r="D29" s="1278"/>
      <c r="E29" s="1278"/>
      <c r="F29" s="1120">
        <v>2015</v>
      </c>
      <c r="G29" s="1117">
        <v>184718</v>
      </c>
      <c r="H29" s="1118">
        <f t="shared" si="0"/>
        <v>139368</v>
      </c>
      <c r="I29" s="1118">
        <v>45350</v>
      </c>
      <c r="J29" s="1118"/>
      <c r="K29" s="1119"/>
      <c r="L29" s="1092"/>
      <c r="M29" s="1092"/>
    </row>
    <row r="30" spans="2:13" ht="51.75" customHeight="1">
      <c r="B30" s="1277" t="s">
        <v>9</v>
      </c>
      <c r="C30" s="1278"/>
      <c r="D30" s="1278"/>
      <c r="E30" s="1278"/>
      <c r="F30" s="1120">
        <v>2015</v>
      </c>
      <c r="G30" s="1117">
        <v>68453</v>
      </c>
      <c r="H30" s="1118">
        <f t="shared" si="0"/>
        <v>1651</v>
      </c>
      <c r="I30" s="1118">
        <v>66802</v>
      </c>
      <c r="J30" s="1118"/>
      <c r="K30" s="1119"/>
      <c r="L30" s="1092"/>
      <c r="M30" s="1092"/>
    </row>
    <row r="31" spans="2:13" ht="74.25" customHeight="1">
      <c r="B31" s="1277" t="s">
        <v>446</v>
      </c>
      <c r="C31" s="1278"/>
      <c r="D31" s="1278"/>
      <c r="E31" s="1278"/>
      <c r="F31" s="1120">
        <v>2015</v>
      </c>
      <c r="G31" s="1117">
        <v>46350</v>
      </c>
      <c r="H31" s="1118">
        <f t="shared" si="0"/>
        <v>25737</v>
      </c>
      <c r="I31" s="1118">
        <v>20613</v>
      </c>
      <c r="J31" s="1118"/>
      <c r="K31" s="1119"/>
      <c r="L31" s="1092"/>
      <c r="M31" s="1092"/>
    </row>
    <row r="32" spans="2:13" ht="48" customHeight="1">
      <c r="B32" s="1277" t="s">
        <v>1138</v>
      </c>
      <c r="C32" s="1278"/>
      <c r="D32" s="1278"/>
      <c r="E32" s="1278"/>
      <c r="F32" s="1120">
        <v>2015</v>
      </c>
      <c r="G32" s="1117">
        <v>15000</v>
      </c>
      <c r="H32" s="1118">
        <f t="shared" si="0"/>
        <v>3522</v>
      </c>
      <c r="I32" s="1118">
        <v>11478</v>
      </c>
      <c r="J32" s="1118"/>
      <c r="K32" s="1119"/>
      <c r="L32" s="1092"/>
      <c r="M32" s="1092"/>
    </row>
    <row r="33" spans="2:13" ht="45.75" customHeight="1">
      <c r="B33" s="1277" t="s">
        <v>20</v>
      </c>
      <c r="C33" s="1278"/>
      <c r="D33" s="1278"/>
      <c r="E33" s="1278"/>
      <c r="F33" s="1120">
        <v>2014</v>
      </c>
      <c r="G33" s="1117">
        <v>40010</v>
      </c>
      <c r="H33" s="1118">
        <f t="shared" si="0"/>
        <v>29732</v>
      </c>
      <c r="I33" s="1118">
        <v>10278</v>
      </c>
      <c r="J33" s="1118"/>
      <c r="K33" s="1119"/>
      <c r="L33" s="1092"/>
      <c r="M33" s="1092"/>
    </row>
    <row r="34" spans="2:13" ht="54" customHeight="1">
      <c r="B34" s="1277" t="s">
        <v>137</v>
      </c>
      <c r="C34" s="1278"/>
      <c r="D34" s="1278"/>
      <c r="E34" s="1278"/>
      <c r="F34" s="1120">
        <v>2015</v>
      </c>
      <c r="G34" s="1117">
        <v>275492</v>
      </c>
      <c r="H34" s="1118">
        <f t="shared" si="0"/>
        <v>73843</v>
      </c>
      <c r="I34" s="1118">
        <v>201649</v>
      </c>
      <c r="J34" s="1118"/>
      <c r="K34" s="1119"/>
      <c r="L34" s="1092"/>
      <c r="M34" s="1092"/>
    </row>
    <row r="35" spans="2:13" ht="56.25" customHeight="1">
      <c r="B35" s="1277" t="s">
        <v>138</v>
      </c>
      <c r="C35" s="1278"/>
      <c r="D35" s="1278"/>
      <c r="E35" s="1278"/>
      <c r="F35" s="1120">
        <v>2015</v>
      </c>
      <c r="G35" s="1117">
        <v>204778</v>
      </c>
      <c r="H35" s="1118">
        <f t="shared" si="0"/>
        <v>20174</v>
      </c>
      <c r="I35" s="1118">
        <v>184604</v>
      </c>
      <c r="J35" s="1118"/>
      <c r="K35" s="1119"/>
      <c r="L35" s="1092"/>
      <c r="M35" s="1092"/>
    </row>
    <row r="36" spans="2:13" ht="50.25" customHeight="1">
      <c r="B36" s="1277" t="s">
        <v>1139</v>
      </c>
      <c r="C36" s="1278"/>
      <c r="D36" s="1278"/>
      <c r="E36" s="1278"/>
      <c r="F36" s="1120">
        <v>2015</v>
      </c>
      <c r="G36" s="1117">
        <v>1394929</v>
      </c>
      <c r="H36" s="1118">
        <f t="shared" si="0"/>
        <v>266204</v>
      </c>
      <c r="I36" s="1118">
        <v>1128725</v>
      </c>
      <c r="J36" s="1118"/>
      <c r="K36" s="1119"/>
      <c r="L36" s="1092"/>
      <c r="M36" s="1092"/>
    </row>
    <row r="37" spans="2:13" ht="50.25" customHeight="1">
      <c r="B37" s="1277" t="s">
        <v>74</v>
      </c>
      <c r="C37" s="1278"/>
      <c r="D37" s="1278"/>
      <c r="E37" s="1278"/>
      <c r="F37" s="1120">
        <v>2015</v>
      </c>
      <c r="G37" s="1117">
        <v>35495</v>
      </c>
      <c r="H37" s="1118">
        <f t="shared" si="0"/>
        <v>0</v>
      </c>
      <c r="I37" s="1118">
        <v>35495</v>
      </c>
      <c r="J37" s="1118"/>
      <c r="K37" s="1119"/>
      <c r="L37" s="1092"/>
      <c r="M37" s="1092"/>
    </row>
    <row r="38" spans="2:13" ht="50.25" customHeight="1">
      <c r="B38" s="1277" t="s">
        <v>73</v>
      </c>
      <c r="C38" s="1278"/>
      <c r="D38" s="1278"/>
      <c r="E38" s="1278"/>
      <c r="F38" s="1120">
        <v>2015</v>
      </c>
      <c r="G38" s="1117">
        <v>21960</v>
      </c>
      <c r="H38" s="1118">
        <f t="shared" si="0"/>
        <v>6290</v>
      </c>
      <c r="I38" s="1118">
        <v>15670</v>
      </c>
      <c r="J38" s="1118"/>
      <c r="K38" s="1119"/>
      <c r="L38" s="1092"/>
      <c r="M38" s="1092"/>
    </row>
    <row r="39" spans="2:13" ht="48.75" customHeight="1">
      <c r="B39" s="1277" t="s">
        <v>1140</v>
      </c>
      <c r="C39" s="1278"/>
      <c r="D39" s="1278"/>
      <c r="E39" s="1278"/>
      <c r="F39" s="1120">
        <v>2016</v>
      </c>
      <c r="G39" s="1117">
        <v>245452</v>
      </c>
      <c r="H39" s="1118"/>
      <c r="I39" s="1118">
        <f>68000+4392</f>
        <v>72392</v>
      </c>
      <c r="J39" s="1118">
        <v>173060</v>
      </c>
      <c r="K39" s="1119"/>
      <c r="L39" s="1092"/>
      <c r="M39" s="1092"/>
    </row>
    <row r="40" spans="2:13" ht="21" customHeight="1">
      <c r="B40" s="1277" t="s">
        <v>1141</v>
      </c>
      <c r="C40" s="1278"/>
      <c r="D40" s="1278"/>
      <c r="E40" s="1278"/>
      <c r="F40" s="1120">
        <v>2016</v>
      </c>
      <c r="G40" s="1117">
        <v>78200</v>
      </c>
      <c r="H40" s="1118"/>
      <c r="I40" s="1118">
        <f>60000+1200</f>
        <v>61200</v>
      </c>
      <c r="J40" s="1118">
        <f>17000</f>
        <v>17000</v>
      </c>
      <c r="K40" s="1119"/>
      <c r="L40" s="1092"/>
      <c r="M40" s="1092"/>
    </row>
    <row r="41" spans="2:13" ht="25.5" customHeight="1" thickBot="1">
      <c r="B41" s="1279" t="s">
        <v>149</v>
      </c>
      <c r="C41" s="1280"/>
      <c r="D41" s="1280"/>
      <c r="E41" s="1280"/>
      <c r="F41" s="1121"/>
      <c r="G41" s="1122">
        <f>SUM(G27:G40)</f>
        <v>3578568</v>
      </c>
      <c r="H41" s="1122">
        <f>SUM(H27:H40)</f>
        <v>1419094</v>
      </c>
      <c r="I41" s="1122">
        <f>SUM(I27:I40)</f>
        <v>1969414</v>
      </c>
      <c r="J41" s="1122">
        <f>SUM(J27:J40)</f>
        <v>190060</v>
      </c>
      <c r="K41" s="1123">
        <f>SUM(K27:K40)</f>
        <v>0</v>
      </c>
      <c r="L41" s="1092"/>
      <c r="M41" s="1092"/>
    </row>
    <row r="42" spans="2:13" ht="23.25">
      <c r="B42" s="711"/>
      <c r="C42" s="711"/>
      <c r="D42" s="711"/>
      <c r="E42" s="711"/>
      <c r="F42" s="711"/>
      <c r="G42" s="711"/>
      <c r="H42" s="711"/>
      <c r="I42" s="711"/>
      <c r="J42" s="711"/>
      <c r="K42" s="711"/>
      <c r="L42" s="711"/>
      <c r="M42" s="710"/>
    </row>
    <row r="43" spans="2:13" ht="23.25">
      <c r="B43" s="711"/>
      <c r="C43" s="711"/>
      <c r="D43" s="711"/>
      <c r="E43" s="711"/>
      <c r="F43" s="711"/>
      <c r="G43" s="711"/>
      <c r="H43" s="711"/>
      <c r="I43" s="711"/>
      <c r="J43" s="711"/>
      <c r="K43" s="711"/>
      <c r="L43" s="711"/>
      <c r="M43" s="710"/>
    </row>
    <row r="44" spans="2:13" ht="23.25">
      <c r="B44" s="711"/>
      <c r="C44" s="711"/>
      <c r="D44" s="711"/>
      <c r="E44" s="711"/>
      <c r="F44" s="711"/>
      <c r="G44" s="711"/>
      <c r="H44" s="711"/>
      <c r="I44" s="711"/>
      <c r="J44" s="711"/>
      <c r="K44" s="711"/>
      <c r="L44" s="711"/>
      <c r="M44" s="710"/>
    </row>
    <row r="45" spans="2:13" ht="23.25">
      <c r="B45" s="711"/>
      <c r="C45" s="711"/>
      <c r="D45" s="711"/>
      <c r="E45" s="711"/>
      <c r="F45" s="711"/>
      <c r="G45" s="711"/>
      <c r="H45" s="711"/>
      <c r="I45" s="711"/>
      <c r="J45" s="711"/>
      <c r="K45" s="711"/>
      <c r="L45" s="711"/>
      <c r="M45" s="710"/>
    </row>
    <row r="46" spans="2:13" ht="23.25">
      <c r="B46" s="711"/>
      <c r="C46" s="711"/>
      <c r="D46" s="711"/>
      <c r="E46" s="711"/>
      <c r="F46" s="711"/>
      <c r="G46" s="711"/>
      <c r="H46" s="711"/>
      <c r="I46" s="711"/>
      <c r="J46" s="711"/>
      <c r="K46" s="711"/>
      <c r="L46" s="711"/>
      <c r="M46" s="710"/>
    </row>
    <row r="47" spans="2:13" ht="23.25">
      <c r="B47" s="711"/>
      <c r="C47" s="711"/>
      <c r="D47" s="711"/>
      <c r="E47" s="711"/>
      <c r="F47" s="711"/>
      <c r="G47" s="711"/>
      <c r="H47" s="711"/>
      <c r="I47" s="711"/>
      <c r="J47" s="711"/>
      <c r="K47" s="711"/>
      <c r="L47" s="711"/>
      <c r="M47" s="710"/>
    </row>
    <row r="48" spans="2:13" ht="23.25">
      <c r="B48" s="711"/>
      <c r="C48" s="711"/>
      <c r="D48" s="711"/>
      <c r="E48" s="711"/>
      <c r="F48" s="711"/>
      <c r="G48" s="711"/>
      <c r="H48" s="711"/>
      <c r="I48" s="711"/>
      <c r="J48" s="711"/>
      <c r="K48" s="711"/>
      <c r="L48" s="711"/>
      <c r="M48" s="710"/>
    </row>
    <row r="49" spans="2:13" ht="23.25">
      <c r="B49" s="711"/>
      <c r="C49" s="711"/>
      <c r="D49" s="711"/>
      <c r="E49" s="711"/>
      <c r="F49" s="711"/>
      <c r="G49" s="711"/>
      <c r="H49" s="711"/>
      <c r="I49" s="711"/>
      <c r="J49" s="711"/>
      <c r="K49" s="711"/>
      <c r="L49" s="711"/>
      <c r="M49" s="710"/>
    </row>
    <row r="50" spans="2:13" ht="23.25">
      <c r="B50" s="711"/>
      <c r="C50" s="711"/>
      <c r="D50" s="711"/>
      <c r="E50" s="711"/>
      <c r="F50" s="711"/>
      <c r="G50" s="711"/>
      <c r="H50" s="711"/>
      <c r="I50" s="711"/>
      <c r="J50" s="711"/>
      <c r="K50" s="711"/>
      <c r="L50" s="711"/>
      <c r="M50" s="710"/>
    </row>
    <row r="51" spans="2:13" ht="23.25">
      <c r="B51" s="711"/>
      <c r="C51" s="711"/>
      <c r="D51" s="711"/>
      <c r="E51" s="711"/>
      <c r="F51" s="711"/>
      <c r="G51" s="711"/>
      <c r="H51" s="711"/>
      <c r="I51" s="711"/>
      <c r="J51" s="711"/>
      <c r="K51" s="711"/>
      <c r="L51" s="711"/>
      <c r="M51" s="710"/>
    </row>
    <row r="52" spans="2:13" ht="23.25">
      <c r="B52" s="711"/>
      <c r="C52" s="711"/>
      <c r="D52" s="711"/>
      <c r="E52" s="711"/>
      <c r="F52" s="711"/>
      <c r="G52" s="711"/>
      <c r="H52" s="711"/>
      <c r="I52" s="711"/>
      <c r="J52" s="711"/>
      <c r="K52" s="711"/>
      <c r="L52" s="711"/>
      <c r="M52" s="710"/>
    </row>
    <row r="53" spans="2:13" ht="23.25">
      <c r="B53" s="711"/>
      <c r="C53" s="711"/>
      <c r="D53" s="711"/>
      <c r="E53" s="711"/>
      <c r="F53" s="711"/>
      <c r="G53" s="711"/>
      <c r="H53" s="711"/>
      <c r="I53" s="711"/>
      <c r="J53" s="711"/>
      <c r="K53" s="711"/>
      <c r="L53" s="711"/>
      <c r="M53" s="710"/>
    </row>
    <row r="54" spans="2:13" ht="23.25">
      <c r="B54" s="711"/>
      <c r="C54" s="711"/>
      <c r="D54" s="711"/>
      <c r="E54" s="711"/>
      <c r="F54" s="711"/>
      <c r="G54" s="711"/>
      <c r="H54" s="711"/>
      <c r="I54" s="711"/>
      <c r="J54" s="711"/>
      <c r="K54" s="711"/>
      <c r="L54" s="711"/>
      <c r="M54" s="710"/>
    </row>
    <row r="55" spans="2:13" ht="23.25">
      <c r="B55" s="711"/>
      <c r="C55" s="711"/>
      <c r="D55" s="711"/>
      <c r="E55" s="711"/>
      <c r="F55" s="711"/>
      <c r="G55" s="711"/>
      <c r="H55" s="711"/>
      <c r="I55" s="711"/>
      <c r="J55" s="711"/>
      <c r="K55" s="711"/>
      <c r="L55" s="711"/>
      <c r="M55" s="710"/>
    </row>
    <row r="56" spans="2:13" ht="23.25">
      <c r="B56" s="711"/>
      <c r="C56" s="711"/>
      <c r="D56" s="711"/>
      <c r="E56" s="711"/>
      <c r="F56" s="711"/>
      <c r="G56" s="711"/>
      <c r="H56" s="711"/>
      <c r="I56" s="711"/>
      <c r="J56" s="711"/>
      <c r="K56" s="711"/>
      <c r="L56" s="711"/>
      <c r="M56" s="710"/>
    </row>
    <row r="57" spans="2:13" ht="23.25">
      <c r="B57" s="711"/>
      <c r="C57" s="711"/>
      <c r="D57" s="711"/>
      <c r="E57" s="711"/>
      <c r="F57" s="711"/>
      <c r="G57" s="711"/>
      <c r="H57" s="711"/>
      <c r="I57" s="711"/>
      <c r="J57" s="711"/>
      <c r="K57" s="711"/>
      <c r="L57" s="711"/>
      <c r="M57" s="710"/>
    </row>
    <row r="58" spans="2:12" ht="20.25">
      <c r="B58" s="601"/>
      <c r="C58" s="601"/>
      <c r="D58" s="601"/>
      <c r="E58" s="601"/>
      <c r="F58" s="601"/>
      <c r="G58" s="601"/>
      <c r="H58" s="601"/>
      <c r="I58" s="601"/>
      <c r="J58" s="601"/>
      <c r="K58" s="601"/>
      <c r="L58" s="601"/>
    </row>
    <row r="59" spans="2:12" ht="20.25">
      <c r="B59" s="601"/>
      <c r="C59" s="601"/>
      <c r="D59" s="601"/>
      <c r="E59" s="601"/>
      <c r="F59" s="601"/>
      <c r="G59" s="601"/>
      <c r="H59" s="601"/>
      <c r="I59" s="601"/>
      <c r="J59" s="601"/>
      <c r="K59" s="601"/>
      <c r="L59" s="601"/>
    </row>
    <row r="60" spans="2:12" ht="20.25">
      <c r="B60" s="601"/>
      <c r="C60" s="601"/>
      <c r="D60" s="601"/>
      <c r="E60" s="601"/>
      <c r="F60" s="601"/>
      <c r="G60" s="601"/>
      <c r="H60" s="601"/>
      <c r="I60" s="601"/>
      <c r="J60" s="601"/>
      <c r="K60" s="601"/>
      <c r="L60" s="601"/>
    </row>
    <row r="61" spans="2:12" ht="20.25">
      <c r="B61" s="601"/>
      <c r="C61" s="601"/>
      <c r="D61" s="601"/>
      <c r="E61" s="601"/>
      <c r="F61" s="601"/>
      <c r="G61" s="601"/>
      <c r="H61" s="601"/>
      <c r="I61" s="601"/>
      <c r="J61" s="601"/>
      <c r="K61" s="601"/>
      <c r="L61" s="601"/>
    </row>
    <row r="62" spans="2:12" ht="20.25">
      <c r="B62" s="601"/>
      <c r="C62" s="601"/>
      <c r="D62" s="601"/>
      <c r="E62" s="601"/>
      <c r="F62" s="601"/>
      <c r="G62" s="601"/>
      <c r="H62" s="601"/>
      <c r="I62" s="601"/>
      <c r="J62" s="601"/>
      <c r="K62" s="601"/>
      <c r="L62" s="601"/>
    </row>
    <row r="63" spans="2:12" ht="20.25">
      <c r="B63" s="601"/>
      <c r="C63" s="601"/>
      <c r="D63" s="601"/>
      <c r="E63" s="601"/>
      <c r="F63" s="601"/>
      <c r="G63" s="601"/>
      <c r="H63" s="601"/>
      <c r="I63" s="601"/>
      <c r="J63" s="601"/>
      <c r="K63" s="601"/>
      <c r="L63" s="601"/>
    </row>
    <row r="64" spans="2:12" ht="20.25">
      <c r="B64" s="601"/>
      <c r="C64" s="601"/>
      <c r="D64" s="601"/>
      <c r="E64" s="601"/>
      <c r="F64" s="601"/>
      <c r="G64" s="601"/>
      <c r="H64" s="601"/>
      <c r="I64" s="601"/>
      <c r="J64" s="601"/>
      <c r="K64" s="601"/>
      <c r="L64" s="601"/>
    </row>
    <row r="65" spans="2:12" ht="20.25">
      <c r="B65" s="601"/>
      <c r="C65" s="601"/>
      <c r="D65" s="601"/>
      <c r="E65" s="601"/>
      <c r="F65" s="601"/>
      <c r="G65" s="601"/>
      <c r="H65" s="601"/>
      <c r="I65" s="601"/>
      <c r="J65" s="601"/>
      <c r="K65" s="601"/>
      <c r="L65" s="601"/>
    </row>
    <row r="66" spans="2:12" ht="20.25">
      <c r="B66" s="601"/>
      <c r="C66" s="601"/>
      <c r="D66" s="601"/>
      <c r="E66" s="601"/>
      <c r="F66" s="601"/>
      <c r="G66" s="601"/>
      <c r="H66" s="601"/>
      <c r="I66" s="601"/>
      <c r="J66" s="601"/>
      <c r="K66" s="601"/>
      <c r="L66" s="601"/>
    </row>
    <row r="67" spans="2:12" ht="20.25">
      <c r="B67" s="601"/>
      <c r="C67" s="601"/>
      <c r="D67" s="601"/>
      <c r="E67" s="601"/>
      <c r="F67" s="601"/>
      <c r="G67" s="601"/>
      <c r="H67" s="601"/>
      <c r="I67" s="601"/>
      <c r="J67" s="601"/>
      <c r="K67" s="601"/>
      <c r="L67" s="601"/>
    </row>
    <row r="68" spans="2:12" ht="20.25">
      <c r="B68" s="601"/>
      <c r="C68" s="601"/>
      <c r="D68" s="601"/>
      <c r="E68" s="601"/>
      <c r="F68" s="601"/>
      <c r="G68" s="601"/>
      <c r="H68" s="601"/>
      <c r="I68" s="601"/>
      <c r="J68" s="601"/>
      <c r="K68" s="601"/>
      <c r="L68" s="601"/>
    </row>
    <row r="69" spans="2:12" ht="20.25">
      <c r="B69" s="601"/>
      <c r="C69" s="601"/>
      <c r="D69" s="601"/>
      <c r="E69" s="601"/>
      <c r="F69" s="601"/>
      <c r="G69" s="601"/>
      <c r="H69" s="601"/>
      <c r="I69" s="601"/>
      <c r="J69" s="601"/>
      <c r="K69" s="601"/>
      <c r="L69" s="601"/>
    </row>
    <row r="70" spans="2:12" ht="20.25">
      <c r="B70" s="601"/>
      <c r="C70" s="601"/>
      <c r="D70" s="601"/>
      <c r="E70" s="601"/>
      <c r="F70" s="601"/>
      <c r="G70" s="601"/>
      <c r="H70" s="601"/>
      <c r="I70" s="601"/>
      <c r="J70" s="601"/>
      <c r="K70" s="601"/>
      <c r="L70" s="601"/>
    </row>
    <row r="71" spans="2:12" ht="20.25">
      <c r="B71" s="601"/>
      <c r="C71" s="601"/>
      <c r="D71" s="601"/>
      <c r="E71" s="601"/>
      <c r="F71" s="601"/>
      <c r="G71" s="601"/>
      <c r="H71" s="601"/>
      <c r="I71" s="601"/>
      <c r="J71" s="601"/>
      <c r="K71" s="601"/>
      <c r="L71" s="601"/>
    </row>
    <row r="72" spans="2:12" ht="20.25">
      <c r="B72" s="601"/>
      <c r="C72" s="601"/>
      <c r="D72" s="601"/>
      <c r="E72" s="601"/>
      <c r="F72" s="601"/>
      <c r="G72" s="601"/>
      <c r="H72" s="601"/>
      <c r="I72" s="601"/>
      <c r="J72" s="601"/>
      <c r="K72" s="601"/>
      <c r="L72" s="601"/>
    </row>
    <row r="73" spans="2:12" ht="20.25">
      <c r="B73" s="601"/>
      <c r="C73" s="601"/>
      <c r="D73" s="601"/>
      <c r="E73" s="601"/>
      <c r="F73" s="601"/>
      <c r="G73" s="601"/>
      <c r="H73" s="601"/>
      <c r="I73" s="601"/>
      <c r="J73" s="601"/>
      <c r="K73" s="601"/>
      <c r="L73" s="601"/>
    </row>
    <row r="74" spans="2:12" ht="20.25">
      <c r="B74" s="601"/>
      <c r="C74" s="601"/>
      <c r="D74" s="601"/>
      <c r="E74" s="601"/>
      <c r="F74" s="601"/>
      <c r="G74" s="601"/>
      <c r="H74" s="601"/>
      <c r="I74" s="601"/>
      <c r="J74" s="601"/>
      <c r="K74" s="601"/>
      <c r="L74" s="601"/>
    </row>
    <row r="75" spans="2:12" ht="20.25">
      <c r="B75" s="601"/>
      <c r="C75" s="601"/>
      <c r="D75" s="601"/>
      <c r="E75" s="601"/>
      <c r="F75" s="601"/>
      <c r="G75" s="601"/>
      <c r="H75" s="601"/>
      <c r="I75" s="601"/>
      <c r="J75" s="601"/>
      <c r="K75" s="601"/>
      <c r="L75" s="601"/>
    </row>
    <row r="76" spans="2:12" ht="20.25">
      <c r="B76" s="601"/>
      <c r="C76" s="601"/>
      <c r="D76" s="601"/>
      <c r="E76" s="601"/>
      <c r="F76" s="601"/>
      <c r="G76" s="601"/>
      <c r="H76" s="601"/>
      <c r="I76" s="601"/>
      <c r="J76" s="601"/>
      <c r="K76" s="601"/>
      <c r="L76" s="601"/>
    </row>
    <row r="77" spans="2:12" ht="20.25">
      <c r="B77" s="601"/>
      <c r="C77" s="601"/>
      <c r="D77" s="601"/>
      <c r="E77" s="601"/>
      <c r="F77" s="601"/>
      <c r="G77" s="601"/>
      <c r="H77" s="601"/>
      <c r="I77" s="601"/>
      <c r="J77" s="601"/>
      <c r="K77" s="601"/>
      <c r="L77" s="601"/>
    </row>
    <row r="78" spans="2:12" ht="20.25">
      <c r="B78" s="601"/>
      <c r="C78" s="601"/>
      <c r="D78" s="601"/>
      <c r="E78" s="601"/>
      <c r="F78" s="601"/>
      <c r="G78" s="601"/>
      <c r="H78" s="601"/>
      <c r="I78" s="601"/>
      <c r="J78" s="601"/>
      <c r="K78" s="601"/>
      <c r="L78" s="601"/>
    </row>
    <row r="79" spans="2:12" ht="20.25">
      <c r="B79" s="601"/>
      <c r="C79" s="601"/>
      <c r="D79" s="601"/>
      <c r="E79" s="601"/>
      <c r="F79" s="601"/>
      <c r="G79" s="601"/>
      <c r="H79" s="601"/>
      <c r="I79" s="601"/>
      <c r="J79" s="601"/>
      <c r="K79" s="601"/>
      <c r="L79" s="601"/>
    </row>
    <row r="80" spans="2:12" ht="20.25">
      <c r="B80" s="601"/>
      <c r="C80" s="601"/>
      <c r="D80" s="601"/>
      <c r="E80" s="601"/>
      <c r="F80" s="601"/>
      <c r="G80" s="601"/>
      <c r="H80" s="601"/>
      <c r="I80" s="601"/>
      <c r="J80" s="601"/>
      <c r="K80" s="601"/>
      <c r="L80" s="601"/>
    </row>
    <row r="81" spans="2:12" ht="20.25">
      <c r="B81" s="601"/>
      <c r="C81" s="601"/>
      <c r="D81" s="601"/>
      <c r="E81" s="601"/>
      <c r="F81" s="601"/>
      <c r="G81" s="601"/>
      <c r="H81" s="601"/>
      <c r="I81" s="601"/>
      <c r="J81" s="601"/>
      <c r="K81" s="601"/>
      <c r="L81" s="601"/>
    </row>
    <row r="82" spans="2:12" ht="20.25">
      <c r="B82" s="601"/>
      <c r="C82" s="601"/>
      <c r="D82" s="601"/>
      <c r="E82" s="601"/>
      <c r="F82" s="601"/>
      <c r="G82" s="601"/>
      <c r="H82" s="601"/>
      <c r="I82" s="601"/>
      <c r="J82" s="601"/>
      <c r="K82" s="601"/>
      <c r="L82" s="601"/>
    </row>
    <row r="83" spans="2:12" ht="20.25">
      <c r="B83" s="601"/>
      <c r="C83" s="601"/>
      <c r="D83" s="601"/>
      <c r="E83" s="601"/>
      <c r="F83" s="601"/>
      <c r="G83" s="601"/>
      <c r="H83" s="601"/>
      <c r="I83" s="601"/>
      <c r="J83" s="601"/>
      <c r="K83" s="601"/>
      <c r="L83" s="601"/>
    </row>
    <row r="84" spans="2:12" ht="20.25">
      <c r="B84" s="601"/>
      <c r="C84" s="601"/>
      <c r="D84" s="601"/>
      <c r="E84" s="601"/>
      <c r="F84" s="601"/>
      <c r="G84" s="601"/>
      <c r="H84" s="601"/>
      <c r="I84" s="601"/>
      <c r="J84" s="601"/>
      <c r="K84" s="601"/>
      <c r="L84" s="601"/>
    </row>
    <row r="85" spans="2:12" ht="20.25">
      <c r="B85" s="601"/>
      <c r="C85" s="601"/>
      <c r="D85" s="601"/>
      <c r="E85" s="601"/>
      <c r="F85" s="601"/>
      <c r="G85" s="601"/>
      <c r="H85" s="601"/>
      <c r="I85" s="601"/>
      <c r="J85" s="601"/>
      <c r="K85" s="601"/>
      <c r="L85" s="601"/>
    </row>
    <row r="86" spans="2:12" ht="20.25">
      <c r="B86" s="601"/>
      <c r="C86" s="601"/>
      <c r="D86" s="601"/>
      <c r="E86" s="601"/>
      <c r="F86" s="601"/>
      <c r="G86" s="601"/>
      <c r="H86" s="601"/>
      <c r="I86" s="601"/>
      <c r="J86" s="601"/>
      <c r="K86" s="601"/>
      <c r="L86" s="601"/>
    </row>
    <row r="87" spans="2:12" ht="20.25">
      <c r="B87" s="601"/>
      <c r="C87" s="601"/>
      <c r="D87" s="601"/>
      <c r="E87" s="601"/>
      <c r="F87" s="601"/>
      <c r="G87" s="601"/>
      <c r="H87" s="601"/>
      <c r="I87" s="601"/>
      <c r="J87" s="601"/>
      <c r="K87" s="601"/>
      <c r="L87" s="601"/>
    </row>
    <row r="88" spans="2:12" ht="20.25">
      <c r="B88" s="601"/>
      <c r="C88" s="601"/>
      <c r="D88" s="601"/>
      <c r="E88" s="601"/>
      <c r="F88" s="601"/>
      <c r="G88" s="601"/>
      <c r="H88" s="601"/>
      <c r="I88" s="601"/>
      <c r="J88" s="601"/>
      <c r="K88" s="601"/>
      <c r="L88" s="601"/>
    </row>
    <row r="89" spans="2:12" ht="20.25">
      <c r="B89" s="601"/>
      <c r="C89" s="601"/>
      <c r="D89" s="601"/>
      <c r="E89" s="601"/>
      <c r="F89" s="601"/>
      <c r="G89" s="601"/>
      <c r="H89" s="601"/>
      <c r="I89" s="601"/>
      <c r="J89" s="601"/>
      <c r="K89" s="601"/>
      <c r="L89" s="601"/>
    </row>
    <row r="90" spans="2:12" ht="20.25">
      <c r="B90" s="601"/>
      <c r="C90" s="601"/>
      <c r="D90" s="601"/>
      <c r="E90" s="601"/>
      <c r="F90" s="601"/>
      <c r="G90" s="601"/>
      <c r="H90" s="601"/>
      <c r="I90" s="601"/>
      <c r="J90" s="601"/>
      <c r="K90" s="601"/>
      <c r="L90" s="601"/>
    </row>
    <row r="91" spans="2:12" ht="20.25">
      <c r="B91" s="601"/>
      <c r="C91" s="601"/>
      <c r="D91" s="601"/>
      <c r="E91" s="601"/>
      <c r="F91" s="601"/>
      <c r="G91" s="601"/>
      <c r="H91" s="601"/>
      <c r="I91" s="601"/>
      <c r="J91" s="601"/>
      <c r="K91" s="601"/>
      <c r="L91" s="601"/>
    </row>
    <row r="92" spans="2:12" ht="20.25">
      <c r="B92" s="601"/>
      <c r="C92" s="601"/>
      <c r="D92" s="601"/>
      <c r="E92" s="601"/>
      <c r="F92" s="601"/>
      <c r="G92" s="601"/>
      <c r="H92" s="601"/>
      <c r="I92" s="601"/>
      <c r="J92" s="601"/>
      <c r="K92" s="601"/>
      <c r="L92" s="601"/>
    </row>
    <row r="93" spans="2:12" ht="20.25">
      <c r="B93" s="601"/>
      <c r="C93" s="601"/>
      <c r="D93" s="601"/>
      <c r="E93" s="601"/>
      <c r="F93" s="601"/>
      <c r="G93" s="601"/>
      <c r="H93" s="601"/>
      <c r="I93" s="601"/>
      <c r="J93" s="601"/>
      <c r="K93" s="601"/>
      <c r="L93" s="601"/>
    </row>
    <row r="94" spans="2:12" ht="20.25">
      <c r="B94" s="601"/>
      <c r="C94" s="601"/>
      <c r="D94" s="601"/>
      <c r="E94" s="601"/>
      <c r="F94" s="601"/>
      <c r="G94" s="601"/>
      <c r="H94" s="601"/>
      <c r="I94" s="601"/>
      <c r="J94" s="601"/>
      <c r="K94" s="601"/>
      <c r="L94" s="601"/>
    </row>
    <row r="95" spans="2:12" ht="20.25">
      <c r="B95" s="601"/>
      <c r="C95" s="601"/>
      <c r="D95" s="601"/>
      <c r="E95" s="601"/>
      <c r="F95" s="601"/>
      <c r="G95" s="601"/>
      <c r="H95" s="601"/>
      <c r="I95" s="601"/>
      <c r="J95" s="601"/>
      <c r="K95" s="601"/>
      <c r="L95" s="601"/>
    </row>
    <row r="96" spans="2:12" ht="20.25">
      <c r="B96" s="601"/>
      <c r="C96" s="601"/>
      <c r="D96" s="601"/>
      <c r="E96" s="601"/>
      <c r="F96" s="601"/>
      <c r="G96" s="601"/>
      <c r="H96" s="601"/>
      <c r="I96" s="601"/>
      <c r="J96" s="601"/>
      <c r="K96" s="601"/>
      <c r="L96" s="601"/>
    </row>
    <row r="97" spans="2:12" ht="20.25">
      <c r="B97" s="601"/>
      <c r="C97" s="601"/>
      <c r="D97" s="601"/>
      <c r="E97" s="601"/>
      <c r="F97" s="601"/>
      <c r="G97" s="601"/>
      <c r="H97" s="601"/>
      <c r="I97" s="601"/>
      <c r="J97" s="601"/>
      <c r="K97" s="601"/>
      <c r="L97" s="601"/>
    </row>
    <row r="98" spans="2:12" ht="20.25">
      <c r="B98" s="601"/>
      <c r="C98" s="601"/>
      <c r="D98" s="601"/>
      <c r="E98" s="601"/>
      <c r="F98" s="601"/>
      <c r="G98" s="601"/>
      <c r="H98" s="601"/>
      <c r="I98" s="601"/>
      <c r="J98" s="601"/>
      <c r="K98" s="601"/>
      <c r="L98" s="601"/>
    </row>
    <row r="99" spans="2:12" ht="20.25">
      <c r="B99" s="601"/>
      <c r="C99" s="601"/>
      <c r="D99" s="601"/>
      <c r="E99" s="601"/>
      <c r="F99" s="601"/>
      <c r="G99" s="601"/>
      <c r="H99" s="601"/>
      <c r="I99" s="601"/>
      <c r="J99" s="601"/>
      <c r="K99" s="601"/>
      <c r="L99" s="601"/>
    </row>
    <row r="100" spans="2:12" ht="20.25">
      <c r="B100" s="601"/>
      <c r="C100" s="601"/>
      <c r="D100" s="601"/>
      <c r="E100" s="601"/>
      <c r="F100" s="601"/>
      <c r="G100" s="601"/>
      <c r="H100" s="601"/>
      <c r="I100" s="601"/>
      <c r="J100" s="601"/>
      <c r="K100" s="601"/>
      <c r="L100" s="601"/>
    </row>
    <row r="101" spans="2:12" ht="20.25">
      <c r="B101" s="601"/>
      <c r="C101" s="601"/>
      <c r="D101" s="601"/>
      <c r="E101" s="601"/>
      <c r="F101" s="601"/>
      <c r="G101" s="601"/>
      <c r="H101" s="601"/>
      <c r="I101" s="601"/>
      <c r="J101" s="601"/>
      <c r="K101" s="601"/>
      <c r="L101" s="601"/>
    </row>
    <row r="102" spans="2:12" ht="20.25">
      <c r="B102" s="601"/>
      <c r="C102" s="601"/>
      <c r="D102" s="601"/>
      <c r="E102" s="601"/>
      <c r="F102" s="601"/>
      <c r="G102" s="601"/>
      <c r="H102" s="601"/>
      <c r="I102" s="601"/>
      <c r="J102" s="601"/>
      <c r="K102" s="601"/>
      <c r="L102" s="601"/>
    </row>
    <row r="103" spans="2:12" ht="20.25">
      <c r="B103" s="601"/>
      <c r="C103" s="601"/>
      <c r="D103" s="601"/>
      <c r="E103" s="601"/>
      <c r="F103" s="601"/>
      <c r="G103" s="601"/>
      <c r="H103" s="601"/>
      <c r="I103" s="601"/>
      <c r="J103" s="601"/>
      <c r="K103" s="601"/>
      <c r="L103" s="601"/>
    </row>
    <row r="104" spans="2:12" ht="20.25">
      <c r="B104" s="601"/>
      <c r="C104" s="601"/>
      <c r="D104" s="601"/>
      <c r="E104" s="601"/>
      <c r="F104" s="601"/>
      <c r="G104" s="601"/>
      <c r="H104" s="601"/>
      <c r="I104" s="601"/>
      <c r="J104" s="601"/>
      <c r="K104" s="601"/>
      <c r="L104" s="601"/>
    </row>
    <row r="105" spans="2:12" ht="20.25">
      <c r="B105" s="601"/>
      <c r="C105" s="601"/>
      <c r="D105" s="601"/>
      <c r="E105" s="601"/>
      <c r="F105" s="601"/>
      <c r="G105" s="601"/>
      <c r="H105" s="601"/>
      <c r="I105" s="601"/>
      <c r="J105" s="601"/>
      <c r="K105" s="601"/>
      <c r="L105" s="601"/>
    </row>
    <row r="106" spans="2:12" ht="20.25">
      <c r="B106" s="601"/>
      <c r="C106" s="601"/>
      <c r="D106" s="601"/>
      <c r="E106" s="601"/>
      <c r="F106" s="601"/>
      <c r="G106" s="601"/>
      <c r="H106" s="601"/>
      <c r="I106" s="601"/>
      <c r="J106" s="601"/>
      <c r="K106" s="601"/>
      <c r="L106" s="601"/>
    </row>
    <row r="107" spans="2:12" ht="20.25">
      <c r="B107" s="601"/>
      <c r="C107" s="601"/>
      <c r="D107" s="601"/>
      <c r="E107" s="601"/>
      <c r="F107" s="601"/>
      <c r="G107" s="601"/>
      <c r="H107" s="601"/>
      <c r="I107" s="601"/>
      <c r="J107" s="601"/>
      <c r="K107" s="601"/>
      <c r="L107" s="601"/>
    </row>
    <row r="108" spans="2:12" ht="20.25">
      <c r="B108" s="601"/>
      <c r="C108" s="601"/>
      <c r="D108" s="601"/>
      <c r="E108" s="601"/>
      <c r="F108" s="601"/>
      <c r="G108" s="601"/>
      <c r="H108" s="601"/>
      <c r="I108" s="601"/>
      <c r="J108" s="601"/>
      <c r="K108" s="601"/>
      <c r="L108" s="601"/>
    </row>
    <row r="109" spans="2:12" ht="20.25">
      <c r="B109" s="601"/>
      <c r="C109" s="601"/>
      <c r="D109" s="601"/>
      <c r="E109" s="601"/>
      <c r="F109" s="601"/>
      <c r="G109" s="601"/>
      <c r="H109" s="601"/>
      <c r="I109" s="601"/>
      <c r="J109" s="601"/>
      <c r="K109" s="601"/>
      <c r="L109" s="601"/>
    </row>
    <row r="110" spans="2:12" ht="20.25">
      <c r="B110" s="601"/>
      <c r="C110" s="601"/>
      <c r="D110" s="601"/>
      <c r="E110" s="601"/>
      <c r="F110" s="601"/>
      <c r="G110" s="601"/>
      <c r="H110" s="601"/>
      <c r="I110" s="601"/>
      <c r="J110" s="601"/>
      <c r="K110" s="601"/>
      <c r="L110" s="601"/>
    </row>
    <row r="111" spans="2:12" ht="20.25">
      <c r="B111" s="601"/>
      <c r="C111" s="601"/>
      <c r="D111" s="601"/>
      <c r="E111" s="601"/>
      <c r="F111" s="601"/>
      <c r="G111" s="601"/>
      <c r="H111" s="601"/>
      <c r="I111" s="601"/>
      <c r="J111" s="601"/>
      <c r="K111" s="601"/>
      <c r="L111" s="601"/>
    </row>
    <row r="112" spans="2:12" ht="20.25">
      <c r="B112" s="601"/>
      <c r="C112" s="601"/>
      <c r="D112" s="601"/>
      <c r="E112" s="601"/>
      <c r="F112" s="601"/>
      <c r="G112" s="601"/>
      <c r="H112" s="601"/>
      <c r="I112" s="601"/>
      <c r="J112" s="601"/>
      <c r="K112" s="601"/>
      <c r="L112" s="601"/>
    </row>
  </sheetData>
  <sheetProtection selectLockedCells="1" selectUnlockedCells="1"/>
  <mergeCells count="34">
    <mergeCell ref="B40:E40"/>
    <mergeCell ref="B41:E41"/>
    <mergeCell ref="B24:L24"/>
    <mergeCell ref="B32:E32"/>
    <mergeCell ref="B33:E33"/>
    <mergeCell ref="B34:E34"/>
    <mergeCell ref="B35:E35"/>
    <mergeCell ref="B36:E36"/>
    <mergeCell ref="B37:E37"/>
    <mergeCell ref="B38:E38"/>
    <mergeCell ref="B39:E39"/>
    <mergeCell ref="B31:E31"/>
    <mergeCell ref="B30:E30"/>
    <mergeCell ref="B29:E29"/>
    <mergeCell ref="B28:E28"/>
    <mergeCell ref="I12:I14"/>
    <mergeCell ref="G12:G14"/>
    <mergeCell ref="H12:H14"/>
    <mergeCell ref="J12:J14"/>
    <mergeCell ref="B26:E26"/>
    <mergeCell ref="B27:E27"/>
    <mergeCell ref="K12:K14"/>
    <mergeCell ref="D13:D14"/>
    <mergeCell ref="E13:E14"/>
    <mergeCell ref="B12:B14"/>
    <mergeCell ref="C12:C14"/>
    <mergeCell ref="D12:E12"/>
    <mergeCell ref="F12:F14"/>
    <mergeCell ref="C5:C6"/>
    <mergeCell ref="D5:I5"/>
    <mergeCell ref="J5:J6"/>
    <mergeCell ref="B3:M3"/>
    <mergeCell ref="B10:L10"/>
    <mergeCell ref="B1:M1"/>
  </mergeCells>
  <printOptions/>
  <pageMargins left="0.7874015748031497" right="0.7874015748031497" top="0.7874015748031497" bottom="0.7874015748031497" header="0.5118110236220472" footer="0.5118110236220472"/>
  <pageSetup firstPageNumber="1" useFirstPageNumber="1" fitToHeight="1" fitToWidth="1" horizontalDpi="300" verticalDpi="300" orientation="portrait" paperSize="9" scale="29" r:id="rId1"/>
  <headerFooter alignWithMargins="0">
    <oddHeader>&amp;L&amp;18 14. melléklet a 16/2016.(V.26.)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view="pageBreakPreview" zoomScaleSheetLayoutView="100" workbookViewId="0" topLeftCell="A1">
      <selection activeCell="A2" sqref="A2:H2"/>
    </sheetView>
  </sheetViews>
  <sheetFormatPr defaultColWidth="9.00390625" defaultRowHeight="12.75"/>
  <cols>
    <col min="1" max="1" width="28.125" style="113" customWidth="1"/>
    <col min="2" max="2" width="9.625" style="113" customWidth="1"/>
    <col min="3" max="4" width="11.375" style="113" customWidth="1"/>
    <col min="5" max="5" width="28.875" style="113" customWidth="1"/>
    <col min="6" max="6" width="8.875" style="113" customWidth="1"/>
    <col min="7" max="8" width="11.00390625" style="113" customWidth="1"/>
    <col min="9" max="9" width="15.00390625" style="113" customWidth="1"/>
    <col min="10" max="16384" width="9.125" style="113" customWidth="1"/>
  </cols>
  <sheetData>
    <row r="1" s="109" customFormat="1" ht="12.75"/>
    <row r="2" spans="1:8" s="109" customFormat="1" ht="12.75">
      <c r="A2" s="1288" t="s">
        <v>1416</v>
      </c>
      <c r="B2" s="1288"/>
      <c r="C2" s="1288"/>
      <c r="D2" s="1288"/>
      <c r="E2" s="1288"/>
      <c r="F2" s="1288"/>
      <c r="G2" s="1288"/>
      <c r="H2" s="1288"/>
    </row>
    <row r="3" s="109" customFormat="1" ht="12.75"/>
    <row r="4" s="109" customFormat="1" ht="12.75">
      <c r="A4" s="110" t="s">
        <v>283</v>
      </c>
    </row>
    <row r="5" s="109" customFormat="1" ht="13.5" thickBot="1"/>
    <row r="6" spans="1:8" s="109" customFormat="1" ht="13.5" thickBot="1">
      <c r="A6" s="1287" t="s">
        <v>300</v>
      </c>
      <c r="B6" s="1285"/>
      <c r="C6" s="1285"/>
      <c r="D6" s="1285"/>
      <c r="E6" s="1285" t="s">
        <v>284</v>
      </c>
      <c r="F6" s="1285"/>
      <c r="G6" s="1285"/>
      <c r="H6" s="1286"/>
    </row>
    <row r="7" spans="1:8" s="109" customFormat="1" ht="25.5">
      <c r="A7" s="425" t="s">
        <v>687</v>
      </c>
      <c r="B7" s="396" t="s">
        <v>684</v>
      </c>
      <c r="C7" s="396" t="s">
        <v>983</v>
      </c>
      <c r="D7" s="396" t="s">
        <v>1038</v>
      </c>
      <c r="E7" s="426" t="s">
        <v>687</v>
      </c>
      <c r="F7" s="396" t="s">
        <v>684</v>
      </c>
      <c r="G7" s="396" t="s">
        <v>983</v>
      </c>
      <c r="H7" s="398" t="s">
        <v>1038</v>
      </c>
    </row>
    <row r="8" spans="1:8" s="109" customFormat="1" ht="12.75">
      <c r="A8" s="191" t="s">
        <v>283</v>
      </c>
      <c r="B8" s="187">
        <v>0</v>
      </c>
      <c r="C8" s="187">
        <v>0</v>
      </c>
      <c r="D8" s="187">
        <v>0</v>
      </c>
      <c r="E8" s="188" t="s">
        <v>562</v>
      </c>
      <c r="F8" s="187">
        <f>SUM(F9:F9)</f>
        <v>0</v>
      </c>
      <c r="G8" s="337">
        <v>0</v>
      </c>
      <c r="H8" s="359">
        <v>0</v>
      </c>
    </row>
    <row r="9" spans="1:8" s="109" customFormat="1" ht="12.75">
      <c r="A9" s="111"/>
      <c r="B9" s="189"/>
      <c r="C9" s="189"/>
      <c r="D9" s="189"/>
      <c r="E9" s="190"/>
      <c r="F9" s="189"/>
      <c r="G9" s="337"/>
      <c r="H9" s="359"/>
    </row>
    <row r="10" spans="1:8" s="109" customFormat="1" ht="12.75">
      <c r="A10" s="191" t="s">
        <v>257</v>
      </c>
      <c r="B10" s="187">
        <f>SUM(B8:B9)</f>
        <v>0</v>
      </c>
      <c r="C10" s="187">
        <v>0</v>
      </c>
      <c r="D10" s="187">
        <v>0</v>
      </c>
      <c r="E10" s="337" t="s">
        <v>257</v>
      </c>
      <c r="F10" s="187">
        <f>SUM(F8)</f>
        <v>0</v>
      </c>
      <c r="G10" s="337">
        <v>0</v>
      </c>
      <c r="H10" s="359">
        <v>0</v>
      </c>
    </row>
    <row r="11" spans="1:8" s="109" customFormat="1" ht="13.5" thickBot="1">
      <c r="A11" s="362"/>
      <c r="B11" s="363"/>
      <c r="C11" s="363"/>
      <c r="D11" s="363"/>
      <c r="E11" s="363"/>
      <c r="F11" s="363"/>
      <c r="G11" s="363"/>
      <c r="H11" s="336"/>
    </row>
    <row r="12" spans="1:8" s="109" customFormat="1" ht="13.5" thickBot="1">
      <c r="A12" s="1291" t="s">
        <v>300</v>
      </c>
      <c r="B12" s="1289"/>
      <c r="C12" s="1289"/>
      <c r="D12" s="1289"/>
      <c r="E12" s="1289" t="s">
        <v>284</v>
      </c>
      <c r="F12" s="1289"/>
      <c r="G12" s="1289"/>
      <c r="H12" s="1290"/>
    </row>
    <row r="13" spans="1:8" s="109" customFormat="1" ht="25.5">
      <c r="A13" s="395" t="s">
        <v>688</v>
      </c>
      <c r="B13" s="396" t="s">
        <v>684</v>
      </c>
      <c r="C13" s="396" t="s">
        <v>983</v>
      </c>
      <c r="D13" s="396" t="s">
        <v>1038</v>
      </c>
      <c r="E13" s="397" t="s">
        <v>688</v>
      </c>
      <c r="F13" s="396" t="s">
        <v>684</v>
      </c>
      <c r="G13" s="396" t="s">
        <v>983</v>
      </c>
      <c r="H13" s="398" t="s">
        <v>1038</v>
      </c>
    </row>
    <row r="14" spans="1:8" s="109" customFormat="1" ht="12.75">
      <c r="A14" s="191" t="s">
        <v>283</v>
      </c>
      <c r="B14" s="187">
        <v>0</v>
      </c>
      <c r="C14" s="187">
        <v>3010</v>
      </c>
      <c r="D14" s="187">
        <v>3010</v>
      </c>
      <c r="E14" s="188" t="s">
        <v>261</v>
      </c>
      <c r="F14" s="187">
        <f>SUM(F15:F15)</f>
        <v>0</v>
      </c>
      <c r="G14" s="337">
        <v>2370</v>
      </c>
      <c r="H14" s="359">
        <v>2370</v>
      </c>
    </row>
    <row r="15" spans="1:8" s="109" customFormat="1" ht="12.75">
      <c r="A15" s="111"/>
      <c r="B15" s="189"/>
      <c r="C15" s="189"/>
      <c r="D15" s="189"/>
      <c r="E15" s="188" t="s">
        <v>689</v>
      </c>
      <c r="F15" s="189"/>
      <c r="G15" s="337">
        <v>640</v>
      </c>
      <c r="H15" s="359">
        <v>640</v>
      </c>
    </row>
    <row r="16" spans="1:8" s="109" customFormat="1" ht="12.75">
      <c r="A16" s="191" t="s">
        <v>257</v>
      </c>
      <c r="B16" s="187">
        <f>SUM(B14:B15)</f>
        <v>0</v>
      </c>
      <c r="C16" s="187">
        <f>SUM(C14)</f>
        <v>3010</v>
      </c>
      <c r="D16" s="187">
        <f>SUM(D14)</f>
        <v>3010</v>
      </c>
      <c r="E16" s="337" t="s">
        <v>257</v>
      </c>
      <c r="F16" s="187">
        <f>SUM(F14)</f>
        <v>0</v>
      </c>
      <c r="G16" s="187">
        <f>SUM(G14:G15)</f>
        <v>3010</v>
      </c>
      <c r="H16" s="361">
        <f>SUM(H14:H15)</f>
        <v>3010</v>
      </c>
    </row>
    <row r="17" spans="1:8" s="109" customFormat="1" ht="13.5" thickBot="1">
      <c r="A17" s="362"/>
      <c r="B17" s="363"/>
      <c r="C17" s="363"/>
      <c r="D17" s="363"/>
      <c r="E17" s="363"/>
      <c r="F17" s="363"/>
      <c r="G17" s="363"/>
      <c r="H17" s="336"/>
    </row>
    <row r="18" spans="1:8" s="109" customFormat="1" ht="13.5" thickBot="1">
      <c r="A18" s="1291" t="s">
        <v>300</v>
      </c>
      <c r="B18" s="1289"/>
      <c r="C18" s="1289"/>
      <c r="D18" s="1289"/>
      <c r="E18" s="1289" t="s">
        <v>284</v>
      </c>
      <c r="F18" s="1289"/>
      <c r="G18" s="1289"/>
      <c r="H18" s="1290"/>
    </row>
    <row r="19" spans="1:8" s="109" customFormat="1" ht="25.5">
      <c r="A19" s="395" t="s">
        <v>690</v>
      </c>
      <c r="B19" s="396" t="s">
        <v>684</v>
      </c>
      <c r="C19" s="396" t="s">
        <v>983</v>
      </c>
      <c r="D19" s="396" t="s">
        <v>1038</v>
      </c>
      <c r="E19" s="395" t="s">
        <v>690</v>
      </c>
      <c r="F19" s="396" t="s">
        <v>684</v>
      </c>
      <c r="G19" s="396" t="s">
        <v>983</v>
      </c>
      <c r="H19" s="398" t="s">
        <v>1038</v>
      </c>
    </row>
    <row r="20" spans="1:8" s="109" customFormat="1" ht="12.75">
      <c r="A20" s="191" t="s">
        <v>283</v>
      </c>
      <c r="B20" s="187">
        <v>0</v>
      </c>
      <c r="C20" s="187">
        <v>50349</v>
      </c>
      <c r="D20" s="187">
        <v>50349</v>
      </c>
      <c r="E20" s="188" t="s">
        <v>261</v>
      </c>
      <c r="F20" s="187">
        <f>SUM(F21:F21)</f>
        <v>0</v>
      </c>
      <c r="G20" s="187">
        <v>11771</v>
      </c>
      <c r="H20" s="361">
        <v>11771</v>
      </c>
    </row>
    <row r="21" spans="1:8" s="109" customFormat="1" ht="12.75">
      <c r="A21" s="111"/>
      <c r="B21" s="189"/>
      <c r="C21" s="189"/>
      <c r="D21" s="189"/>
      <c r="E21" s="188" t="s">
        <v>689</v>
      </c>
      <c r="F21" s="189"/>
      <c r="G21" s="187">
        <v>3394</v>
      </c>
      <c r="H21" s="361">
        <v>3394</v>
      </c>
    </row>
    <row r="22" spans="1:8" s="109" customFormat="1" ht="12.75">
      <c r="A22" s="111"/>
      <c r="B22" s="189"/>
      <c r="C22" s="187"/>
      <c r="D22" s="187"/>
      <c r="E22" s="188" t="s">
        <v>422</v>
      </c>
      <c r="F22" s="189"/>
      <c r="G22" s="187">
        <v>35184</v>
      </c>
      <c r="H22" s="361">
        <v>35184</v>
      </c>
    </row>
    <row r="23" spans="1:8" s="109" customFormat="1" ht="13.5" thickBot="1">
      <c r="A23" s="192" t="s">
        <v>257</v>
      </c>
      <c r="B23" s="193">
        <f>SUM(B20:B21)</f>
        <v>0</v>
      </c>
      <c r="C23" s="193">
        <f>SUM(C20)</f>
        <v>50349</v>
      </c>
      <c r="D23" s="193">
        <f>SUM(D20)</f>
        <v>50349</v>
      </c>
      <c r="E23" s="194" t="s">
        <v>257</v>
      </c>
      <c r="F23" s="193">
        <f>SUM(F20)</f>
        <v>0</v>
      </c>
      <c r="G23" s="193">
        <f>SUM(G20:G22)</f>
        <v>50349</v>
      </c>
      <c r="H23" s="399">
        <f>SUM(H20:H22)</f>
        <v>50349</v>
      </c>
    </row>
    <row r="24" spans="1:6" s="109" customFormat="1" ht="12.75">
      <c r="A24" s="207"/>
      <c r="B24" s="208"/>
      <c r="C24" s="208"/>
      <c r="D24" s="208"/>
      <c r="E24" s="207"/>
      <c r="F24" s="208"/>
    </row>
    <row r="25" spans="1:6" s="109" customFormat="1" ht="12.75">
      <c r="A25" s="207"/>
      <c r="B25" s="208"/>
      <c r="C25" s="208"/>
      <c r="D25" s="208"/>
      <c r="E25" s="207"/>
      <c r="F25" s="208"/>
    </row>
    <row r="26" spans="1:8" s="109" customFormat="1" ht="12.75">
      <c r="A26" s="207" t="s">
        <v>15</v>
      </c>
      <c r="B26" s="208">
        <v>0</v>
      </c>
      <c r="C26" s="208">
        <f>(C10+C16+C23)</f>
        <v>53359</v>
      </c>
      <c r="D26" s="208">
        <f>(D10+D16+D23)</f>
        <v>53359</v>
      </c>
      <c r="E26" s="207" t="s">
        <v>15</v>
      </c>
      <c r="F26" s="208">
        <v>0</v>
      </c>
      <c r="G26" s="208">
        <f>(G10+G16+G23)</f>
        <v>53359</v>
      </c>
      <c r="H26" s="208">
        <f>(H10+H16+H23)</f>
        <v>53359</v>
      </c>
    </row>
    <row r="27" s="109" customFormat="1" ht="12.75"/>
    <row r="28" s="109" customFormat="1" ht="12.75">
      <c r="A28" s="110" t="s">
        <v>285</v>
      </c>
    </row>
    <row r="29" s="109" customFormat="1" ht="13.5" thickBot="1"/>
    <row r="30" spans="1:8" s="109" customFormat="1" ht="13.5" thickBot="1">
      <c r="A30" s="1282" t="s">
        <v>300</v>
      </c>
      <c r="B30" s="1283"/>
      <c r="C30" s="1283"/>
      <c r="D30" s="1283"/>
      <c r="E30" s="1283" t="s">
        <v>284</v>
      </c>
      <c r="F30" s="1283"/>
      <c r="G30" s="1283"/>
      <c r="H30" s="1284"/>
    </row>
    <row r="31" spans="1:8" s="109" customFormat="1" ht="25.5">
      <c r="A31" s="425" t="s">
        <v>687</v>
      </c>
      <c r="B31" s="396" t="s">
        <v>684</v>
      </c>
      <c r="C31" s="396" t="s">
        <v>983</v>
      </c>
      <c r="D31" s="396" t="s">
        <v>1038</v>
      </c>
      <c r="E31" s="426" t="s">
        <v>687</v>
      </c>
      <c r="F31" s="396" t="s">
        <v>684</v>
      </c>
      <c r="G31" s="396" t="s">
        <v>983</v>
      </c>
      <c r="H31" s="398" t="s">
        <v>1038</v>
      </c>
    </row>
    <row r="32" spans="1:8" s="109" customFormat="1" ht="12.75">
      <c r="A32" s="199" t="s">
        <v>285</v>
      </c>
      <c r="B32" s="196">
        <v>100000</v>
      </c>
      <c r="C32" s="196">
        <v>81606</v>
      </c>
      <c r="D32" s="196">
        <v>81606</v>
      </c>
      <c r="E32" s="195" t="s">
        <v>592</v>
      </c>
      <c r="F32" s="196">
        <f>SUM(F33:F34)</f>
        <v>100000</v>
      </c>
      <c r="G32" s="196">
        <f>SUM(G33:G34)</f>
        <v>81606</v>
      </c>
      <c r="H32" s="392">
        <f>SUM(H33:H34)</f>
        <v>81606</v>
      </c>
    </row>
    <row r="33" spans="1:8" s="109" customFormat="1" ht="25.5">
      <c r="A33" s="112"/>
      <c r="B33" s="198"/>
      <c r="C33" s="189"/>
      <c r="D33" s="189"/>
      <c r="E33" s="197" t="s">
        <v>50</v>
      </c>
      <c r="F33" s="198">
        <v>66000</v>
      </c>
      <c r="G33" s="198">
        <v>66000</v>
      </c>
      <c r="H33" s="393">
        <v>66000</v>
      </c>
    </row>
    <row r="34" spans="1:8" s="109" customFormat="1" ht="12.75">
      <c r="A34" s="112"/>
      <c r="B34" s="198"/>
      <c r="C34" s="187"/>
      <c r="D34" s="187"/>
      <c r="E34" s="197" t="s">
        <v>53</v>
      </c>
      <c r="F34" s="198">
        <v>34000</v>
      </c>
      <c r="G34" s="198">
        <v>15606</v>
      </c>
      <c r="H34" s="393">
        <v>15606</v>
      </c>
    </row>
    <row r="35" spans="1:8" s="109" customFormat="1" ht="13.5" thickBot="1">
      <c r="A35" s="200" t="s">
        <v>257</v>
      </c>
      <c r="B35" s="201">
        <f>SUM(B32:B34)</f>
        <v>100000</v>
      </c>
      <c r="C35" s="201">
        <f>SUM(C32:C34)</f>
        <v>81606</v>
      </c>
      <c r="D35" s="201">
        <f>SUM(D32:D34)</f>
        <v>81606</v>
      </c>
      <c r="E35" s="202" t="s">
        <v>257</v>
      </c>
      <c r="F35" s="201">
        <f>SUM(F32)</f>
        <v>100000</v>
      </c>
      <c r="G35" s="201">
        <f>SUM(G32)</f>
        <v>81606</v>
      </c>
      <c r="H35" s="394">
        <f>SUM(H32)</f>
        <v>81606</v>
      </c>
    </row>
    <row r="36" s="109" customFormat="1" ht="13.5" thickBot="1"/>
    <row r="37" spans="1:8" s="109" customFormat="1" ht="13.5" thickBot="1">
      <c r="A37" s="1282" t="s">
        <v>300</v>
      </c>
      <c r="B37" s="1283"/>
      <c r="C37" s="1283"/>
      <c r="D37" s="1283"/>
      <c r="E37" s="1283" t="s">
        <v>284</v>
      </c>
      <c r="F37" s="1283"/>
      <c r="G37" s="1283"/>
      <c r="H37" s="1284"/>
    </row>
    <row r="38" spans="1:8" s="109" customFormat="1" ht="25.5">
      <c r="A38" s="395" t="s">
        <v>690</v>
      </c>
      <c r="B38" s="396" t="s">
        <v>684</v>
      </c>
      <c r="C38" s="396" t="s">
        <v>983</v>
      </c>
      <c r="D38" s="396" t="s">
        <v>1038</v>
      </c>
      <c r="E38" s="397" t="s">
        <v>690</v>
      </c>
      <c r="F38" s="396" t="s">
        <v>684</v>
      </c>
      <c r="G38" s="396" t="s">
        <v>983</v>
      </c>
      <c r="H38" s="398" t="s">
        <v>1038</v>
      </c>
    </row>
    <row r="39" spans="1:8" s="109" customFormat="1" ht="12.75">
      <c r="A39" s="199" t="s">
        <v>285</v>
      </c>
      <c r="B39" s="196">
        <v>0</v>
      </c>
      <c r="C39" s="196">
        <v>18400</v>
      </c>
      <c r="D39" s="196">
        <v>18400</v>
      </c>
      <c r="E39" s="195" t="s">
        <v>273</v>
      </c>
      <c r="F39" s="196">
        <v>0</v>
      </c>
      <c r="G39" s="196">
        <v>13400</v>
      </c>
      <c r="H39" s="392">
        <v>13400</v>
      </c>
    </row>
    <row r="40" spans="1:8" s="109" customFormat="1" ht="12.75">
      <c r="A40" s="112"/>
      <c r="B40" s="198"/>
      <c r="C40" s="189"/>
      <c r="D40" s="189"/>
      <c r="E40" s="209" t="s">
        <v>274</v>
      </c>
      <c r="F40" s="196">
        <v>0</v>
      </c>
      <c r="G40" s="196">
        <v>5000</v>
      </c>
      <c r="H40" s="392">
        <v>5000</v>
      </c>
    </row>
    <row r="41" spans="1:8" s="109" customFormat="1" ht="12.75">
      <c r="A41" s="112"/>
      <c r="B41" s="198"/>
      <c r="C41" s="187"/>
      <c r="D41" s="187"/>
      <c r="E41" s="197"/>
      <c r="F41" s="198"/>
      <c r="G41" s="360"/>
      <c r="H41" s="270"/>
    </row>
    <row r="42" spans="1:8" s="109" customFormat="1" ht="13.5" thickBot="1">
      <c r="A42" s="200" t="s">
        <v>257</v>
      </c>
      <c r="B42" s="201">
        <f>SUM(B39:B41)</f>
        <v>0</v>
      </c>
      <c r="C42" s="201">
        <f>SUM(C39:C41)</f>
        <v>18400</v>
      </c>
      <c r="D42" s="201">
        <f>SUM(D39:D41)</f>
        <v>18400</v>
      </c>
      <c r="E42" s="202" t="s">
        <v>257</v>
      </c>
      <c r="F42" s="201">
        <f>SUM(F39)</f>
        <v>0</v>
      </c>
      <c r="G42" s="201">
        <f>SUM(G39:G40)</f>
        <v>18400</v>
      </c>
      <c r="H42" s="394">
        <f>SUM(H39:H40)</f>
        <v>18400</v>
      </c>
    </row>
    <row r="43" s="109" customFormat="1" ht="12.75"/>
    <row r="44" s="109" customFormat="1" ht="12.75"/>
    <row r="45" spans="1:8" s="109" customFormat="1" ht="12.75">
      <c r="A45" s="207" t="s">
        <v>15</v>
      </c>
      <c r="B45" s="210">
        <f>(B35+B42)</f>
        <v>100000</v>
      </c>
      <c r="C45" s="210">
        <f>(C35+C42)</f>
        <v>100006</v>
      </c>
      <c r="D45" s="210">
        <f>(D35+D42)</f>
        <v>100006</v>
      </c>
      <c r="E45" s="207" t="s">
        <v>15</v>
      </c>
      <c r="F45" s="210">
        <f>(F35+F42)</f>
        <v>100000</v>
      </c>
      <c r="G45" s="210">
        <f>(G35+G42)</f>
        <v>100006</v>
      </c>
      <c r="H45" s="210">
        <f>(H35+H42)</f>
        <v>100006</v>
      </c>
    </row>
    <row r="46" s="109" customFormat="1" ht="12.75"/>
    <row r="47" s="109" customFormat="1" ht="12.75"/>
    <row r="48" s="109" customFormat="1" ht="12.75"/>
    <row r="49" s="109" customFormat="1" ht="12.75"/>
    <row r="50" s="109" customFormat="1" ht="12.75"/>
  </sheetData>
  <sheetProtection/>
  <mergeCells count="11">
    <mergeCell ref="E30:H30"/>
    <mergeCell ref="A30:D30"/>
    <mergeCell ref="A37:D37"/>
    <mergeCell ref="E37:H37"/>
    <mergeCell ref="E6:H6"/>
    <mergeCell ref="A6:D6"/>
    <mergeCell ref="A2:H2"/>
    <mergeCell ref="E12:H12"/>
    <mergeCell ref="A12:D12"/>
    <mergeCell ref="A18:D18"/>
    <mergeCell ref="E18:H18"/>
  </mergeCells>
  <printOptions horizontalCentered="1"/>
  <pageMargins left="0.3937007874015748" right="0.3937007874015748" top="0.984251968503937" bottom="0" header="0.5118110236220472" footer="0.5118110236220472"/>
  <pageSetup fitToWidth="0" fitToHeight="1" horizontalDpi="600" verticalDpi="600" orientation="landscape" paperSize="9" scale="78" r:id="rId1"/>
  <headerFooter alignWithMargins="0">
    <oddHeader>&amp;L&amp;"Arial,Normál"15. melléklet a 16/2016.(V.26.)   önkormányzati rendelethez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82" zoomScaleNormal="82" zoomScalePageLayoutView="0" workbookViewId="0" topLeftCell="A37">
      <selection activeCell="A2" sqref="A2"/>
    </sheetView>
  </sheetViews>
  <sheetFormatPr defaultColWidth="9.00390625" defaultRowHeight="12.75"/>
  <cols>
    <col min="1" max="1" width="77.75390625" style="0" customWidth="1"/>
    <col min="2" max="2" width="11.625" style="0" customWidth="1"/>
    <col min="3" max="3" width="10.25390625" style="0" customWidth="1"/>
    <col min="4" max="4" width="10.375" style="0" customWidth="1"/>
    <col min="5" max="5" width="10.25390625" style="0" customWidth="1"/>
    <col min="6" max="11" width="9.125" style="0" hidden="1" customWidth="1"/>
    <col min="12" max="12" width="0.12890625" style="0" hidden="1" customWidth="1"/>
    <col min="13" max="13" width="1.75390625" style="0" hidden="1" customWidth="1"/>
    <col min="14" max="15" width="10.375" style="0" customWidth="1"/>
    <col min="16" max="17" width="10.25390625" style="0" customWidth="1"/>
    <col min="18" max="18" width="11.00390625" style="0" customWidth="1"/>
    <col min="19" max="19" width="10.375" style="0" customWidth="1"/>
  </cols>
  <sheetData>
    <row r="1" spans="1:19" ht="14.25">
      <c r="A1" s="1292" t="s">
        <v>657</v>
      </c>
      <c r="B1" s="1292"/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1292"/>
      <c r="O1" s="1292"/>
      <c r="P1" s="1292"/>
      <c r="Q1" s="1292"/>
      <c r="R1" s="1292"/>
      <c r="S1" s="1292"/>
    </row>
    <row r="2" spans="1:19" ht="15">
      <c r="A2" s="278"/>
      <c r="B2" s="278"/>
      <c r="C2" s="278"/>
      <c r="D2" s="278"/>
      <c r="E2" s="278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</row>
    <row r="3" spans="1:19" ht="15">
      <c r="A3" s="1293" t="s">
        <v>597</v>
      </c>
      <c r="B3" s="1293"/>
      <c r="C3" s="1293"/>
      <c r="D3" s="1293"/>
      <c r="E3" s="1293"/>
      <c r="F3" s="1293"/>
      <c r="G3" s="1293"/>
      <c r="H3" s="1293"/>
      <c r="I3" s="1293"/>
      <c r="J3" s="1293"/>
      <c r="K3" s="1293"/>
      <c r="L3" s="1293"/>
      <c r="M3" s="1293"/>
      <c r="N3" s="1293"/>
      <c r="O3" s="1293"/>
      <c r="P3" s="1293"/>
      <c r="Q3" s="1293"/>
      <c r="R3" s="1293"/>
      <c r="S3" s="1293"/>
    </row>
    <row r="4" spans="1:19" ht="15.75" thickBot="1">
      <c r="A4" s="280"/>
      <c r="B4" s="280"/>
      <c r="C4" s="280"/>
      <c r="D4" s="280"/>
      <c r="E4" s="280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</row>
    <row r="5" spans="1:19" ht="15" thickBot="1">
      <c r="A5" s="1294" t="s">
        <v>280</v>
      </c>
      <c r="B5" s="1296" t="s">
        <v>4</v>
      </c>
      <c r="C5" s="1297"/>
      <c r="D5" s="1297"/>
      <c r="E5" s="1298"/>
      <c r="F5" s="1296" t="s">
        <v>660</v>
      </c>
      <c r="G5" s="1297"/>
      <c r="H5" s="1297"/>
      <c r="I5" s="1298"/>
      <c r="J5" s="1296" t="s">
        <v>722</v>
      </c>
      <c r="K5" s="1297"/>
      <c r="L5" s="1297"/>
      <c r="M5" s="1298"/>
      <c r="N5" s="1296" t="s">
        <v>976</v>
      </c>
      <c r="O5" s="1297"/>
      <c r="P5" s="1297"/>
      <c r="Q5" s="1298"/>
      <c r="R5" s="1297" t="s">
        <v>1032</v>
      </c>
      <c r="S5" s="1298"/>
    </row>
    <row r="6" spans="1:19" ht="14.25">
      <c r="A6" s="1295"/>
      <c r="B6" s="1299" t="s">
        <v>301</v>
      </c>
      <c r="C6" s="1301" t="s">
        <v>281</v>
      </c>
      <c r="D6" s="1302"/>
      <c r="E6" s="1303"/>
      <c r="F6" s="1304" t="s">
        <v>301</v>
      </c>
      <c r="G6" s="1301" t="s">
        <v>281</v>
      </c>
      <c r="H6" s="1302"/>
      <c r="I6" s="1303"/>
      <c r="J6" s="1304" t="s">
        <v>301</v>
      </c>
      <c r="K6" s="1301" t="s">
        <v>281</v>
      </c>
      <c r="L6" s="1302"/>
      <c r="M6" s="1303"/>
      <c r="N6" s="1304" t="s">
        <v>301</v>
      </c>
      <c r="O6" s="1301" t="s">
        <v>281</v>
      </c>
      <c r="P6" s="1302"/>
      <c r="Q6" s="1303"/>
      <c r="R6" s="1302" t="s">
        <v>1214</v>
      </c>
      <c r="S6" s="1303"/>
    </row>
    <row r="7" spans="1:19" ht="115.5" customHeight="1" thickBot="1">
      <c r="A7" s="1295"/>
      <c r="B7" s="1300"/>
      <c r="C7" s="165" t="s">
        <v>282</v>
      </c>
      <c r="D7" s="165" t="s">
        <v>485</v>
      </c>
      <c r="E7" s="166" t="s">
        <v>486</v>
      </c>
      <c r="F7" s="1305"/>
      <c r="G7" s="165" t="s">
        <v>282</v>
      </c>
      <c r="H7" s="165" t="s">
        <v>485</v>
      </c>
      <c r="I7" s="166" t="s">
        <v>486</v>
      </c>
      <c r="J7" s="1305"/>
      <c r="K7" s="165" t="s">
        <v>282</v>
      </c>
      <c r="L7" s="165" t="s">
        <v>485</v>
      </c>
      <c r="M7" s="166" t="s">
        <v>486</v>
      </c>
      <c r="N7" s="1306"/>
      <c r="O7" s="165" t="s">
        <v>282</v>
      </c>
      <c r="P7" s="165" t="s">
        <v>485</v>
      </c>
      <c r="Q7" s="166" t="s">
        <v>486</v>
      </c>
      <c r="R7" s="165" t="s">
        <v>485</v>
      </c>
      <c r="S7" s="166" t="s">
        <v>486</v>
      </c>
    </row>
    <row r="8" spans="1:19" ht="14.25" customHeight="1">
      <c r="A8" s="177" t="s">
        <v>128</v>
      </c>
      <c r="B8" s="168">
        <f aca="true" t="shared" si="0" ref="B8:S8">SUM(B9:B12)</f>
        <v>1219746</v>
      </c>
      <c r="C8" s="167">
        <f t="shared" si="0"/>
        <v>849017</v>
      </c>
      <c r="D8" s="167">
        <f t="shared" si="0"/>
        <v>321864</v>
      </c>
      <c r="E8" s="169">
        <f t="shared" si="0"/>
        <v>48865</v>
      </c>
      <c r="F8" s="281">
        <f t="shared" si="0"/>
        <v>1219746</v>
      </c>
      <c r="G8" s="281">
        <f t="shared" si="0"/>
        <v>849017</v>
      </c>
      <c r="H8" s="281">
        <f t="shared" si="0"/>
        <v>321864</v>
      </c>
      <c r="I8" s="282">
        <f t="shared" si="0"/>
        <v>48865</v>
      </c>
      <c r="J8" s="283">
        <f t="shared" si="0"/>
        <v>1380882</v>
      </c>
      <c r="K8" s="281">
        <f t="shared" si="0"/>
        <v>849017</v>
      </c>
      <c r="L8" s="281">
        <f t="shared" si="0"/>
        <v>483000</v>
      </c>
      <c r="M8" s="338">
        <f t="shared" si="0"/>
        <v>48865</v>
      </c>
      <c r="N8" s="283">
        <f t="shared" si="0"/>
        <v>1375882</v>
      </c>
      <c r="O8" s="365">
        <f t="shared" si="0"/>
        <v>847017</v>
      </c>
      <c r="P8" s="365">
        <f t="shared" si="0"/>
        <v>480000</v>
      </c>
      <c r="Q8" s="480">
        <f t="shared" si="0"/>
        <v>48865</v>
      </c>
      <c r="R8" s="365">
        <f t="shared" si="0"/>
        <v>48865</v>
      </c>
      <c r="S8" s="480">
        <f t="shared" si="0"/>
        <v>480406</v>
      </c>
    </row>
    <row r="9" spans="1:19" ht="14.25" customHeight="1">
      <c r="A9" s="178" t="s">
        <v>767</v>
      </c>
      <c r="B9" s="170">
        <v>1049854</v>
      </c>
      <c r="C9" s="77">
        <v>730990</v>
      </c>
      <c r="D9" s="77">
        <f>B9-C9</f>
        <v>318864</v>
      </c>
      <c r="E9" s="171"/>
      <c r="F9" s="284">
        <v>1049854</v>
      </c>
      <c r="G9" s="77">
        <f>C9</f>
        <v>730990</v>
      </c>
      <c r="H9" s="77">
        <v>318864</v>
      </c>
      <c r="I9" s="171"/>
      <c r="J9" s="276">
        <f>F9+161136</f>
        <v>1210990</v>
      </c>
      <c r="K9" s="77">
        <f>G9</f>
        <v>730990</v>
      </c>
      <c r="L9" s="77">
        <f>H9+161136</f>
        <v>480000</v>
      </c>
      <c r="M9" s="339">
        <f>I9</f>
        <v>0</v>
      </c>
      <c r="N9" s="276">
        <v>1210990</v>
      </c>
      <c r="O9" s="77">
        <v>730990</v>
      </c>
      <c r="P9" s="77">
        <v>480000</v>
      </c>
      <c r="Q9" s="171">
        <v>0</v>
      </c>
      <c r="R9" s="77"/>
      <c r="S9" s="171">
        <v>480406</v>
      </c>
    </row>
    <row r="10" spans="1:19" ht="14.25" customHeight="1">
      <c r="A10" s="178" t="s">
        <v>7</v>
      </c>
      <c r="B10" s="170">
        <v>130400</v>
      </c>
      <c r="C10" s="77">
        <v>81568</v>
      </c>
      <c r="D10" s="77"/>
      <c r="E10" s="171">
        <f>B10-C10</f>
        <v>48832</v>
      </c>
      <c r="F10" s="284">
        <v>130400</v>
      </c>
      <c r="G10" s="77">
        <f>C10</f>
        <v>81568</v>
      </c>
      <c r="H10" s="77"/>
      <c r="I10" s="171">
        <v>48832</v>
      </c>
      <c r="J10" s="276">
        <f>F10</f>
        <v>130400</v>
      </c>
      <c r="K10" s="77">
        <f>G10</f>
        <v>81568</v>
      </c>
      <c r="L10" s="77">
        <f>H10</f>
        <v>0</v>
      </c>
      <c r="M10" s="339">
        <f>I10</f>
        <v>48832</v>
      </c>
      <c r="N10" s="276">
        <v>130400</v>
      </c>
      <c r="O10" s="77">
        <v>81568</v>
      </c>
      <c r="P10" s="77">
        <v>0</v>
      </c>
      <c r="Q10" s="171">
        <v>48832</v>
      </c>
      <c r="R10" s="77">
        <v>48832</v>
      </c>
      <c r="S10" s="171"/>
    </row>
    <row r="11" spans="1:19" ht="28.5" customHeight="1">
      <c r="A11" s="178" t="s">
        <v>8</v>
      </c>
      <c r="B11" s="170">
        <v>34492</v>
      </c>
      <c r="C11" s="77">
        <v>34459</v>
      </c>
      <c r="D11" s="77"/>
      <c r="E11" s="171">
        <f>B11-C11</f>
        <v>33</v>
      </c>
      <c r="F11" s="284">
        <v>34492</v>
      </c>
      <c r="G11" s="77">
        <f>C11</f>
        <v>34459</v>
      </c>
      <c r="H11" s="77"/>
      <c r="I11" s="171">
        <v>33</v>
      </c>
      <c r="J11" s="276">
        <f>F11</f>
        <v>34492</v>
      </c>
      <c r="K11" s="77">
        <f>G11</f>
        <v>34459</v>
      </c>
      <c r="L11" s="77">
        <f>H11</f>
        <v>0</v>
      </c>
      <c r="M11" s="339">
        <f>I11</f>
        <v>33</v>
      </c>
      <c r="N11" s="276">
        <v>34492</v>
      </c>
      <c r="O11" s="77">
        <v>34459</v>
      </c>
      <c r="P11" s="77">
        <v>0</v>
      </c>
      <c r="Q11" s="171">
        <v>33</v>
      </c>
      <c r="R11" s="77">
        <v>33</v>
      </c>
      <c r="S11" s="171"/>
    </row>
    <row r="12" spans="1:19" ht="28.5" customHeight="1">
      <c r="A12" s="178" t="s">
        <v>487</v>
      </c>
      <c r="B12" s="170">
        <v>5000</v>
      </c>
      <c r="C12" s="77">
        <v>2000</v>
      </c>
      <c r="D12" s="77">
        <f>B12-C12</f>
        <v>3000</v>
      </c>
      <c r="E12" s="171"/>
      <c r="F12" s="284">
        <v>5000</v>
      </c>
      <c r="G12" s="77">
        <f>C12</f>
        <v>2000</v>
      </c>
      <c r="H12" s="77">
        <v>3000</v>
      </c>
      <c r="I12" s="171"/>
      <c r="J12" s="276">
        <f>F12</f>
        <v>5000</v>
      </c>
      <c r="K12" s="77">
        <f>G12</f>
        <v>2000</v>
      </c>
      <c r="L12" s="77">
        <f>H12</f>
        <v>3000</v>
      </c>
      <c r="M12" s="339">
        <f>I12</f>
        <v>0</v>
      </c>
      <c r="N12" s="276">
        <v>0</v>
      </c>
      <c r="O12" s="77">
        <v>0</v>
      </c>
      <c r="P12" s="77">
        <v>0</v>
      </c>
      <c r="Q12" s="171"/>
      <c r="R12" s="77"/>
      <c r="S12" s="171"/>
    </row>
    <row r="13" spans="1:19" ht="14.25" customHeight="1">
      <c r="A13" s="178"/>
      <c r="B13" s="170"/>
      <c r="C13" s="77"/>
      <c r="D13" s="77"/>
      <c r="E13" s="171"/>
      <c r="F13" s="284"/>
      <c r="G13" s="77"/>
      <c r="H13" s="77"/>
      <c r="I13" s="171"/>
      <c r="J13" s="276"/>
      <c r="K13" s="77"/>
      <c r="L13" s="77"/>
      <c r="M13" s="339"/>
      <c r="N13" s="344"/>
      <c r="O13" s="343"/>
      <c r="P13" s="343"/>
      <c r="Q13" s="345"/>
      <c r="R13" s="343"/>
      <c r="S13" s="345"/>
    </row>
    <row r="14" spans="1:19" ht="14.25" customHeight="1">
      <c r="A14" s="179" t="s">
        <v>129</v>
      </c>
      <c r="B14" s="172">
        <f aca="true" t="shared" si="1" ref="B14:S14">SUM(B15:B16)</f>
        <v>26969</v>
      </c>
      <c r="C14" s="78">
        <f t="shared" si="1"/>
        <v>0</v>
      </c>
      <c r="D14" s="78">
        <f t="shared" si="1"/>
        <v>26969</v>
      </c>
      <c r="E14" s="104">
        <f t="shared" si="1"/>
        <v>0</v>
      </c>
      <c r="F14" s="285">
        <f t="shared" si="1"/>
        <v>26969</v>
      </c>
      <c r="G14" s="285">
        <f t="shared" si="1"/>
        <v>0</v>
      </c>
      <c r="H14" s="285">
        <f t="shared" si="1"/>
        <v>26969</v>
      </c>
      <c r="I14" s="286">
        <f t="shared" si="1"/>
        <v>0</v>
      </c>
      <c r="J14" s="185">
        <f t="shared" si="1"/>
        <v>26969</v>
      </c>
      <c r="K14" s="285">
        <f t="shared" si="1"/>
        <v>0</v>
      </c>
      <c r="L14" s="285">
        <f t="shared" si="1"/>
        <v>26969</v>
      </c>
      <c r="M14" s="340">
        <f t="shared" si="1"/>
        <v>0</v>
      </c>
      <c r="N14" s="185">
        <f t="shared" si="1"/>
        <v>7996</v>
      </c>
      <c r="O14" s="78">
        <f t="shared" si="1"/>
        <v>0</v>
      </c>
      <c r="P14" s="78">
        <f t="shared" si="1"/>
        <v>7996</v>
      </c>
      <c r="Q14" s="104">
        <f t="shared" si="1"/>
        <v>0</v>
      </c>
      <c r="R14" s="78">
        <f t="shared" si="1"/>
        <v>0</v>
      </c>
      <c r="S14" s="104">
        <f t="shared" si="1"/>
        <v>8025</v>
      </c>
    </row>
    <row r="15" spans="1:19" ht="14.25" customHeight="1">
      <c r="A15" s="178" t="s">
        <v>530</v>
      </c>
      <c r="B15" s="170">
        <v>9000</v>
      </c>
      <c r="C15" s="77"/>
      <c r="D15" s="77">
        <f>B15-C15</f>
        <v>9000</v>
      </c>
      <c r="E15" s="171"/>
      <c r="F15" s="284">
        <v>9000</v>
      </c>
      <c r="G15" s="77"/>
      <c r="H15" s="77">
        <v>9000</v>
      </c>
      <c r="I15" s="171"/>
      <c r="J15" s="276">
        <f aca="true" t="shared" si="2" ref="J15:M16">F15</f>
        <v>9000</v>
      </c>
      <c r="K15" s="77">
        <f t="shared" si="2"/>
        <v>0</v>
      </c>
      <c r="L15" s="77">
        <f t="shared" si="2"/>
        <v>9000</v>
      </c>
      <c r="M15" s="339">
        <f t="shared" si="2"/>
        <v>0</v>
      </c>
      <c r="N15" s="276">
        <f>9000-975-29</f>
        <v>7996</v>
      </c>
      <c r="O15" s="77">
        <v>0</v>
      </c>
      <c r="P15" s="77">
        <v>7996</v>
      </c>
      <c r="Q15" s="171"/>
      <c r="R15" s="77"/>
      <c r="S15" s="171">
        <v>8025</v>
      </c>
    </row>
    <row r="16" spans="1:19" ht="27.75" customHeight="1">
      <c r="A16" s="178" t="s">
        <v>531</v>
      </c>
      <c r="B16" s="170">
        <v>17969</v>
      </c>
      <c r="C16" s="77"/>
      <c r="D16" s="77">
        <f>B16-C16</f>
        <v>17969</v>
      </c>
      <c r="E16" s="171"/>
      <c r="F16" s="284">
        <v>17969</v>
      </c>
      <c r="G16" s="77"/>
      <c r="H16" s="77">
        <v>17969</v>
      </c>
      <c r="I16" s="171"/>
      <c r="J16" s="276">
        <f t="shared" si="2"/>
        <v>17969</v>
      </c>
      <c r="K16" s="77">
        <f t="shared" si="2"/>
        <v>0</v>
      </c>
      <c r="L16" s="77">
        <f t="shared" si="2"/>
        <v>17969</v>
      </c>
      <c r="M16" s="339">
        <f t="shared" si="2"/>
        <v>0</v>
      </c>
      <c r="N16" s="276">
        <v>0</v>
      </c>
      <c r="O16" s="77">
        <v>0</v>
      </c>
      <c r="P16" s="77">
        <v>0</v>
      </c>
      <c r="Q16" s="171"/>
      <c r="R16" s="77"/>
      <c r="S16" s="171"/>
    </row>
    <row r="17" spans="1:19" ht="14.25" customHeight="1">
      <c r="A17" s="178"/>
      <c r="B17" s="170"/>
      <c r="C17" s="77"/>
      <c r="D17" s="77"/>
      <c r="E17" s="171"/>
      <c r="F17" s="284"/>
      <c r="G17" s="77"/>
      <c r="H17" s="77"/>
      <c r="I17" s="171"/>
      <c r="J17" s="276"/>
      <c r="K17" s="77"/>
      <c r="L17" s="77"/>
      <c r="M17" s="339"/>
      <c r="N17" s="344"/>
      <c r="O17" s="343"/>
      <c r="P17" s="343"/>
      <c r="Q17" s="345"/>
      <c r="R17" s="343"/>
      <c r="S17" s="345"/>
    </row>
    <row r="18" spans="1:19" ht="14.25" customHeight="1">
      <c r="A18" s="179" t="s">
        <v>130</v>
      </c>
      <c r="B18" s="172">
        <f>SUM(B19:B19)</f>
        <v>20000</v>
      </c>
      <c r="C18" s="78">
        <f>SUM(C19:C19)</f>
        <v>0</v>
      </c>
      <c r="D18" s="78">
        <f>SUM(D19:D19)</f>
        <v>20000</v>
      </c>
      <c r="E18" s="104">
        <f aca="true" t="shared" si="3" ref="E18:S18">SUM(E19:E20)</f>
        <v>10397</v>
      </c>
      <c r="F18" s="285">
        <f t="shared" si="3"/>
        <v>20000</v>
      </c>
      <c r="G18" s="285">
        <f t="shared" si="3"/>
        <v>0</v>
      </c>
      <c r="H18" s="285">
        <f t="shared" si="3"/>
        <v>20000</v>
      </c>
      <c r="I18" s="286">
        <f t="shared" si="3"/>
        <v>10397</v>
      </c>
      <c r="J18" s="185">
        <f t="shared" si="3"/>
        <v>20000</v>
      </c>
      <c r="K18" s="285">
        <f t="shared" si="3"/>
        <v>0</v>
      </c>
      <c r="L18" s="285">
        <f t="shared" si="3"/>
        <v>20000</v>
      </c>
      <c r="M18" s="340">
        <f t="shared" si="3"/>
        <v>10397</v>
      </c>
      <c r="N18" s="185">
        <f t="shared" si="3"/>
        <v>10397</v>
      </c>
      <c r="O18" s="78">
        <f t="shared" si="3"/>
        <v>0</v>
      </c>
      <c r="P18" s="78">
        <f t="shared" si="3"/>
        <v>0</v>
      </c>
      <c r="Q18" s="104">
        <f t="shared" si="3"/>
        <v>10397</v>
      </c>
      <c r="R18" s="78">
        <f t="shared" si="3"/>
        <v>10397</v>
      </c>
      <c r="S18" s="104">
        <f t="shared" si="3"/>
        <v>0</v>
      </c>
    </row>
    <row r="19" spans="1:19" ht="14.25" customHeight="1">
      <c r="A19" s="178" t="s">
        <v>533</v>
      </c>
      <c r="B19" s="170">
        <v>20000</v>
      </c>
      <c r="C19" s="77"/>
      <c r="D19" s="77">
        <f>B19-C19</f>
        <v>20000</v>
      </c>
      <c r="E19" s="171"/>
      <c r="F19" s="284">
        <v>20000</v>
      </c>
      <c r="G19" s="77"/>
      <c r="H19" s="77">
        <v>20000</v>
      </c>
      <c r="I19" s="171"/>
      <c r="J19" s="276">
        <f aca="true" t="shared" si="4" ref="J19:M20">F19</f>
        <v>20000</v>
      </c>
      <c r="K19" s="77">
        <f t="shared" si="4"/>
        <v>0</v>
      </c>
      <c r="L19" s="77">
        <f t="shared" si="4"/>
        <v>20000</v>
      </c>
      <c r="M19" s="339">
        <f t="shared" si="4"/>
        <v>0</v>
      </c>
      <c r="N19" s="276">
        <v>0</v>
      </c>
      <c r="O19" s="77">
        <v>0</v>
      </c>
      <c r="P19" s="77">
        <v>0</v>
      </c>
      <c r="Q19" s="171"/>
      <c r="R19" s="77"/>
      <c r="S19" s="171"/>
    </row>
    <row r="20" spans="1:19" ht="14.25" customHeight="1">
      <c r="A20" s="178" t="s">
        <v>975</v>
      </c>
      <c r="B20" s="170"/>
      <c r="C20" s="77"/>
      <c r="D20" s="77"/>
      <c r="E20" s="171">
        <v>10397</v>
      </c>
      <c r="F20" s="284"/>
      <c r="G20" s="77"/>
      <c r="H20" s="77"/>
      <c r="I20" s="171">
        <v>10397</v>
      </c>
      <c r="J20" s="276">
        <f t="shared" si="4"/>
        <v>0</v>
      </c>
      <c r="K20" s="77">
        <f t="shared" si="4"/>
        <v>0</v>
      </c>
      <c r="L20" s="77">
        <f t="shared" si="4"/>
        <v>0</v>
      </c>
      <c r="M20" s="339">
        <f t="shared" si="4"/>
        <v>10397</v>
      </c>
      <c r="N20" s="276">
        <v>10397</v>
      </c>
      <c r="O20" s="77"/>
      <c r="P20" s="77"/>
      <c r="Q20" s="171">
        <v>10397</v>
      </c>
      <c r="R20" s="77">
        <v>10397</v>
      </c>
      <c r="S20" s="171"/>
    </row>
    <row r="21" spans="1:19" ht="14.25" customHeight="1">
      <c r="A21" s="178"/>
      <c r="B21" s="170"/>
      <c r="C21" s="77"/>
      <c r="D21" s="77"/>
      <c r="E21" s="171"/>
      <c r="F21" s="284"/>
      <c r="G21" s="77"/>
      <c r="H21" s="77"/>
      <c r="I21" s="171"/>
      <c r="J21" s="276"/>
      <c r="K21" s="77"/>
      <c r="L21" s="77"/>
      <c r="M21" s="339"/>
      <c r="N21" s="344"/>
      <c r="O21" s="343"/>
      <c r="P21" s="343"/>
      <c r="Q21" s="345"/>
      <c r="R21" s="343"/>
      <c r="S21" s="345"/>
    </row>
    <row r="22" spans="1:19" ht="14.25" customHeight="1">
      <c r="A22" s="179" t="s">
        <v>131</v>
      </c>
      <c r="B22" s="172">
        <f aca="true" t="shared" si="5" ref="B22:S22">SUM(B23:B25)</f>
        <v>83200</v>
      </c>
      <c r="C22" s="78">
        <f t="shared" si="5"/>
        <v>0</v>
      </c>
      <c r="D22" s="78">
        <f t="shared" si="5"/>
        <v>83200</v>
      </c>
      <c r="E22" s="104">
        <f t="shared" si="5"/>
        <v>0</v>
      </c>
      <c r="F22" s="285">
        <f t="shared" si="5"/>
        <v>83200</v>
      </c>
      <c r="G22" s="285">
        <f t="shared" si="5"/>
        <v>0</v>
      </c>
      <c r="H22" s="285">
        <f t="shared" si="5"/>
        <v>83200</v>
      </c>
      <c r="I22" s="286">
        <f t="shared" si="5"/>
        <v>0</v>
      </c>
      <c r="J22" s="185">
        <f t="shared" si="5"/>
        <v>83200</v>
      </c>
      <c r="K22" s="285">
        <f t="shared" si="5"/>
        <v>0</v>
      </c>
      <c r="L22" s="285">
        <f t="shared" si="5"/>
        <v>83200</v>
      </c>
      <c r="M22" s="340">
        <f t="shared" si="5"/>
        <v>0</v>
      </c>
      <c r="N22" s="185">
        <f t="shared" si="5"/>
        <v>60899</v>
      </c>
      <c r="O22" s="78">
        <f t="shared" si="5"/>
        <v>0</v>
      </c>
      <c r="P22" s="78">
        <f t="shared" si="5"/>
        <v>60899</v>
      </c>
      <c r="Q22" s="104">
        <f t="shared" si="5"/>
        <v>0</v>
      </c>
      <c r="R22" s="78">
        <f t="shared" si="5"/>
        <v>0</v>
      </c>
      <c r="S22" s="104">
        <f t="shared" si="5"/>
        <v>60466</v>
      </c>
    </row>
    <row r="23" spans="1:19" ht="28.5" customHeight="1">
      <c r="A23" s="178" t="s">
        <v>81</v>
      </c>
      <c r="B23" s="170">
        <v>40000</v>
      </c>
      <c r="C23" s="77"/>
      <c r="D23" s="77">
        <f>B23-C23</f>
        <v>40000</v>
      </c>
      <c r="E23" s="171"/>
      <c r="F23" s="284">
        <v>40000</v>
      </c>
      <c r="G23" s="77"/>
      <c r="H23" s="77">
        <v>40000</v>
      </c>
      <c r="I23" s="171"/>
      <c r="J23" s="276">
        <f aca="true" t="shared" si="6" ref="J23:M25">F23</f>
        <v>40000</v>
      </c>
      <c r="K23" s="77">
        <f t="shared" si="6"/>
        <v>0</v>
      </c>
      <c r="L23" s="77">
        <f t="shared" si="6"/>
        <v>40000</v>
      </c>
      <c r="M23" s="339">
        <f t="shared" si="6"/>
        <v>0</v>
      </c>
      <c r="N23" s="276">
        <f>40000-695</f>
        <v>39305</v>
      </c>
      <c r="O23" s="77">
        <v>0</v>
      </c>
      <c r="P23" s="77">
        <v>39305</v>
      </c>
      <c r="Q23" s="171"/>
      <c r="R23" s="77"/>
      <c r="S23" s="171">
        <f>60391-S24-1</f>
        <v>39190</v>
      </c>
    </row>
    <row r="24" spans="1:19" ht="14.25" customHeight="1">
      <c r="A24" s="178" t="s">
        <v>82</v>
      </c>
      <c r="B24" s="170">
        <v>21200</v>
      </c>
      <c r="C24" s="77"/>
      <c r="D24" s="77">
        <f>B24-C24</f>
        <v>21200</v>
      </c>
      <c r="E24" s="171"/>
      <c r="F24" s="284">
        <v>21200</v>
      </c>
      <c r="G24" s="77"/>
      <c r="H24" s="77">
        <v>21200</v>
      </c>
      <c r="I24" s="171"/>
      <c r="J24" s="276">
        <f t="shared" si="6"/>
        <v>21200</v>
      </c>
      <c r="K24" s="77">
        <f t="shared" si="6"/>
        <v>0</v>
      </c>
      <c r="L24" s="77">
        <f t="shared" si="6"/>
        <v>21200</v>
      </c>
      <c r="M24" s="339">
        <f t="shared" si="6"/>
        <v>0</v>
      </c>
      <c r="N24" s="276">
        <v>21200</v>
      </c>
      <c r="O24" s="77">
        <v>0</v>
      </c>
      <c r="P24" s="77">
        <v>21200</v>
      </c>
      <c r="Q24" s="171"/>
      <c r="R24" s="77"/>
      <c r="S24" s="171">
        <v>21200</v>
      </c>
    </row>
    <row r="25" spans="1:19" ht="14.25" customHeight="1">
      <c r="A25" s="178" t="s">
        <v>83</v>
      </c>
      <c r="B25" s="170">
        <v>22000</v>
      </c>
      <c r="C25" s="77"/>
      <c r="D25" s="77">
        <f>B25-C25</f>
        <v>22000</v>
      </c>
      <c r="E25" s="171"/>
      <c r="F25" s="284">
        <v>22000</v>
      </c>
      <c r="G25" s="77"/>
      <c r="H25" s="77">
        <v>22000</v>
      </c>
      <c r="I25" s="171"/>
      <c r="J25" s="276">
        <f t="shared" si="6"/>
        <v>22000</v>
      </c>
      <c r="K25" s="77">
        <f t="shared" si="6"/>
        <v>0</v>
      </c>
      <c r="L25" s="77">
        <f t="shared" si="6"/>
        <v>22000</v>
      </c>
      <c r="M25" s="339">
        <f t="shared" si="6"/>
        <v>0</v>
      </c>
      <c r="N25" s="276">
        <v>394</v>
      </c>
      <c r="O25" s="77"/>
      <c r="P25" s="77">
        <f>22000-21606</f>
        <v>394</v>
      </c>
      <c r="Q25" s="171"/>
      <c r="R25" s="77"/>
      <c r="S25" s="171">
        <v>76</v>
      </c>
    </row>
    <row r="26" spans="1:19" ht="14.25" customHeight="1">
      <c r="A26" s="178"/>
      <c r="B26" s="170"/>
      <c r="C26" s="77"/>
      <c r="D26" s="77"/>
      <c r="E26" s="171"/>
      <c r="F26" s="284"/>
      <c r="G26" s="77"/>
      <c r="H26" s="77"/>
      <c r="I26" s="171"/>
      <c r="J26" s="276"/>
      <c r="K26" s="77"/>
      <c r="L26" s="77"/>
      <c r="M26" s="339"/>
      <c r="N26" s="344"/>
      <c r="O26" s="343"/>
      <c r="P26" s="343"/>
      <c r="Q26" s="345"/>
      <c r="R26" s="343"/>
      <c r="S26" s="345"/>
    </row>
    <row r="27" spans="1:19" ht="14.25" customHeight="1">
      <c r="A27" s="179" t="s">
        <v>133</v>
      </c>
      <c r="B27" s="172">
        <f aca="true" t="shared" si="7" ref="B27:S27">SUM(B28:B30)</f>
        <v>21372</v>
      </c>
      <c r="C27" s="78">
        <f t="shared" si="7"/>
        <v>0</v>
      </c>
      <c r="D27" s="78">
        <f t="shared" si="7"/>
        <v>21372</v>
      </c>
      <c r="E27" s="104">
        <f t="shared" si="7"/>
        <v>0</v>
      </c>
      <c r="F27" s="285">
        <f t="shared" si="7"/>
        <v>21372</v>
      </c>
      <c r="G27" s="285">
        <f t="shared" si="7"/>
        <v>0</v>
      </c>
      <c r="H27" s="285">
        <f t="shared" si="7"/>
        <v>21372</v>
      </c>
      <c r="I27" s="286">
        <f t="shared" si="7"/>
        <v>0</v>
      </c>
      <c r="J27" s="185">
        <f t="shared" si="7"/>
        <v>21372</v>
      </c>
      <c r="K27" s="285">
        <f t="shared" si="7"/>
        <v>0</v>
      </c>
      <c r="L27" s="285">
        <f t="shared" si="7"/>
        <v>21372</v>
      </c>
      <c r="M27" s="340">
        <f t="shared" si="7"/>
        <v>0</v>
      </c>
      <c r="N27" s="185">
        <f t="shared" si="7"/>
        <v>6618</v>
      </c>
      <c r="O27" s="78">
        <f t="shared" si="7"/>
        <v>0</v>
      </c>
      <c r="P27" s="78">
        <f t="shared" si="7"/>
        <v>6618</v>
      </c>
      <c r="Q27" s="104">
        <f t="shared" si="7"/>
        <v>0</v>
      </c>
      <c r="R27" s="78">
        <f t="shared" si="7"/>
        <v>0</v>
      </c>
      <c r="S27" s="104">
        <f t="shared" si="7"/>
        <v>6616</v>
      </c>
    </row>
    <row r="28" spans="1:19" ht="14.25" customHeight="1">
      <c r="A28" s="178" t="s">
        <v>488</v>
      </c>
      <c r="B28" s="170">
        <v>6300</v>
      </c>
      <c r="C28" s="77"/>
      <c r="D28" s="77">
        <f>B28-C28</f>
        <v>6300</v>
      </c>
      <c r="E28" s="171"/>
      <c r="F28" s="284">
        <v>6300</v>
      </c>
      <c r="G28" s="77"/>
      <c r="H28" s="77">
        <v>6300</v>
      </c>
      <c r="I28" s="171"/>
      <c r="J28" s="276">
        <f aca="true" t="shared" si="8" ref="J28:M30">F28</f>
        <v>6300</v>
      </c>
      <c r="K28" s="284">
        <f t="shared" si="8"/>
        <v>0</v>
      </c>
      <c r="L28" s="284">
        <f t="shared" si="8"/>
        <v>6300</v>
      </c>
      <c r="M28" s="341">
        <f t="shared" si="8"/>
        <v>0</v>
      </c>
      <c r="N28" s="276">
        <v>6300</v>
      </c>
      <c r="O28" s="77"/>
      <c r="P28" s="77">
        <v>6300</v>
      </c>
      <c r="Q28" s="171"/>
      <c r="R28" s="77"/>
      <c r="S28" s="171">
        <v>6298</v>
      </c>
    </row>
    <row r="29" spans="1:19" ht="14.25" customHeight="1">
      <c r="A29" s="178" t="s">
        <v>84</v>
      </c>
      <c r="B29" s="170">
        <v>10000</v>
      </c>
      <c r="C29" s="77"/>
      <c r="D29" s="77">
        <f>B29-C29</f>
        <v>10000</v>
      </c>
      <c r="E29" s="171"/>
      <c r="F29" s="284">
        <v>10000</v>
      </c>
      <c r="G29" s="77"/>
      <c r="H29" s="77">
        <v>10000</v>
      </c>
      <c r="I29" s="171"/>
      <c r="J29" s="276">
        <f t="shared" si="8"/>
        <v>10000</v>
      </c>
      <c r="K29" s="284">
        <f t="shared" si="8"/>
        <v>0</v>
      </c>
      <c r="L29" s="284">
        <f t="shared" si="8"/>
        <v>10000</v>
      </c>
      <c r="M29" s="341">
        <f t="shared" si="8"/>
        <v>0</v>
      </c>
      <c r="N29" s="276">
        <v>0</v>
      </c>
      <c r="O29" s="77">
        <v>0</v>
      </c>
      <c r="P29" s="77">
        <v>0</v>
      </c>
      <c r="Q29" s="171">
        <v>0</v>
      </c>
      <c r="R29" s="77"/>
      <c r="S29" s="171"/>
    </row>
    <row r="30" spans="1:19" ht="14.25" customHeight="1">
      <c r="A30" s="178" t="s">
        <v>90</v>
      </c>
      <c r="B30" s="170">
        <v>5072</v>
      </c>
      <c r="C30" s="77"/>
      <c r="D30" s="77">
        <f>B30-C30</f>
        <v>5072</v>
      </c>
      <c r="E30" s="171"/>
      <c r="F30" s="284">
        <v>5072</v>
      </c>
      <c r="G30" s="77"/>
      <c r="H30" s="77">
        <v>5072</v>
      </c>
      <c r="I30" s="171"/>
      <c r="J30" s="276">
        <f t="shared" si="8"/>
        <v>5072</v>
      </c>
      <c r="K30" s="284">
        <f t="shared" si="8"/>
        <v>0</v>
      </c>
      <c r="L30" s="284">
        <f t="shared" si="8"/>
        <v>5072</v>
      </c>
      <c r="M30" s="341">
        <f t="shared" si="8"/>
        <v>0</v>
      </c>
      <c r="N30" s="276">
        <f>5072-4754</f>
        <v>318</v>
      </c>
      <c r="O30" s="77"/>
      <c r="P30" s="77">
        <v>318</v>
      </c>
      <c r="Q30" s="171"/>
      <c r="R30" s="77"/>
      <c r="S30" s="171">
        <v>318</v>
      </c>
    </row>
    <row r="31" spans="1:19" ht="14.25" customHeight="1">
      <c r="A31" s="178"/>
      <c r="B31" s="170"/>
      <c r="C31" s="77"/>
      <c r="D31" s="77"/>
      <c r="E31" s="171"/>
      <c r="F31" s="284"/>
      <c r="G31" s="77"/>
      <c r="H31" s="77"/>
      <c r="I31" s="171"/>
      <c r="J31" s="276"/>
      <c r="K31" s="77"/>
      <c r="L31" s="77"/>
      <c r="M31" s="339"/>
      <c r="N31" s="344"/>
      <c r="O31" s="343"/>
      <c r="P31" s="343"/>
      <c r="Q31" s="345"/>
      <c r="R31" s="343"/>
      <c r="S31" s="345"/>
    </row>
    <row r="32" spans="1:19" ht="14.25" customHeight="1">
      <c r="A32" s="179" t="s">
        <v>132</v>
      </c>
      <c r="B32" s="172">
        <f aca="true" t="shared" si="9" ref="B32:S32">SUM(B33:B35)</f>
        <v>6553</v>
      </c>
      <c r="C32" s="78">
        <f t="shared" si="9"/>
        <v>0</v>
      </c>
      <c r="D32" s="78">
        <f t="shared" si="9"/>
        <v>6553</v>
      </c>
      <c r="E32" s="104">
        <f t="shared" si="9"/>
        <v>0</v>
      </c>
      <c r="F32" s="285">
        <f t="shared" si="9"/>
        <v>6553</v>
      </c>
      <c r="G32" s="285">
        <f t="shared" si="9"/>
        <v>0</v>
      </c>
      <c r="H32" s="285">
        <f t="shared" si="9"/>
        <v>6553</v>
      </c>
      <c r="I32" s="286">
        <f t="shared" si="9"/>
        <v>0</v>
      </c>
      <c r="J32" s="185">
        <f t="shared" si="9"/>
        <v>6553</v>
      </c>
      <c r="K32" s="285">
        <f t="shared" si="9"/>
        <v>0</v>
      </c>
      <c r="L32" s="285">
        <f t="shared" si="9"/>
        <v>6553</v>
      </c>
      <c r="M32" s="340">
        <f t="shared" si="9"/>
        <v>0</v>
      </c>
      <c r="N32" s="185">
        <f t="shared" si="9"/>
        <v>0</v>
      </c>
      <c r="O32" s="78">
        <f t="shared" si="9"/>
        <v>0</v>
      </c>
      <c r="P32" s="78">
        <f t="shared" si="9"/>
        <v>0</v>
      </c>
      <c r="Q32" s="104">
        <f t="shared" si="9"/>
        <v>0</v>
      </c>
      <c r="R32" s="78">
        <f t="shared" si="9"/>
        <v>0</v>
      </c>
      <c r="S32" s="104">
        <f t="shared" si="9"/>
        <v>0</v>
      </c>
    </row>
    <row r="33" spans="1:19" ht="14.25" customHeight="1">
      <c r="A33" s="178" t="s">
        <v>91</v>
      </c>
      <c r="B33" s="170">
        <v>739</v>
      </c>
      <c r="C33" s="77"/>
      <c r="D33" s="77">
        <f>B33-C33</f>
        <v>739</v>
      </c>
      <c r="E33" s="171"/>
      <c r="F33" s="284">
        <v>739</v>
      </c>
      <c r="G33" s="77"/>
      <c r="H33" s="77">
        <v>739</v>
      </c>
      <c r="I33" s="171"/>
      <c r="J33" s="276">
        <f aca="true" t="shared" si="10" ref="J33:M35">F33</f>
        <v>739</v>
      </c>
      <c r="K33" s="284">
        <f t="shared" si="10"/>
        <v>0</v>
      </c>
      <c r="L33" s="284">
        <f t="shared" si="10"/>
        <v>739</v>
      </c>
      <c r="M33" s="341">
        <f t="shared" si="10"/>
        <v>0</v>
      </c>
      <c r="N33" s="276">
        <v>0</v>
      </c>
      <c r="O33" s="77">
        <v>0</v>
      </c>
      <c r="P33" s="77">
        <v>0</v>
      </c>
      <c r="Q33" s="171">
        <v>0</v>
      </c>
      <c r="R33" s="77"/>
      <c r="S33" s="171"/>
    </row>
    <row r="34" spans="1:19" ht="14.25" customHeight="1">
      <c r="A34" s="178" t="s">
        <v>221</v>
      </c>
      <c r="B34" s="170">
        <v>2314</v>
      </c>
      <c r="C34" s="77"/>
      <c r="D34" s="77">
        <f>B34-C34</f>
        <v>2314</v>
      </c>
      <c r="E34" s="171"/>
      <c r="F34" s="284">
        <v>2314</v>
      </c>
      <c r="G34" s="77"/>
      <c r="H34" s="77">
        <v>2314</v>
      </c>
      <c r="I34" s="171"/>
      <c r="J34" s="276">
        <f t="shared" si="10"/>
        <v>2314</v>
      </c>
      <c r="K34" s="284">
        <f t="shared" si="10"/>
        <v>0</v>
      </c>
      <c r="L34" s="284">
        <f t="shared" si="10"/>
        <v>2314</v>
      </c>
      <c r="M34" s="341">
        <f t="shared" si="10"/>
        <v>0</v>
      </c>
      <c r="N34" s="276">
        <v>0</v>
      </c>
      <c r="O34" s="77">
        <v>0</v>
      </c>
      <c r="P34" s="77">
        <v>0</v>
      </c>
      <c r="Q34" s="171">
        <v>0</v>
      </c>
      <c r="R34" s="77"/>
      <c r="S34" s="171"/>
    </row>
    <row r="35" spans="1:19" ht="14.25" customHeight="1">
      <c r="A35" s="178" t="s">
        <v>222</v>
      </c>
      <c r="B35" s="170">
        <v>3500</v>
      </c>
      <c r="C35" s="77"/>
      <c r="D35" s="77">
        <f>B35-C35</f>
        <v>3500</v>
      </c>
      <c r="E35" s="171"/>
      <c r="F35" s="284">
        <v>3500</v>
      </c>
      <c r="G35" s="77"/>
      <c r="H35" s="77">
        <v>3500</v>
      </c>
      <c r="I35" s="171"/>
      <c r="J35" s="276">
        <f t="shared" si="10"/>
        <v>3500</v>
      </c>
      <c r="K35" s="284">
        <f t="shared" si="10"/>
        <v>0</v>
      </c>
      <c r="L35" s="284">
        <f t="shared" si="10"/>
        <v>3500</v>
      </c>
      <c r="M35" s="341">
        <f t="shared" si="10"/>
        <v>0</v>
      </c>
      <c r="N35" s="276">
        <v>0</v>
      </c>
      <c r="O35" s="77">
        <v>0</v>
      </c>
      <c r="P35" s="77">
        <v>0</v>
      </c>
      <c r="Q35" s="171">
        <v>0</v>
      </c>
      <c r="R35" s="77"/>
      <c r="S35" s="171"/>
    </row>
    <row r="36" spans="1:19" ht="14.25" customHeight="1">
      <c r="A36" s="178"/>
      <c r="B36" s="170"/>
      <c r="C36" s="77"/>
      <c r="D36" s="77"/>
      <c r="E36" s="171"/>
      <c r="F36" s="284"/>
      <c r="G36" s="77"/>
      <c r="H36" s="77"/>
      <c r="I36" s="171"/>
      <c r="J36" s="276"/>
      <c r="K36" s="77"/>
      <c r="L36" s="77"/>
      <c r="M36" s="339"/>
      <c r="N36" s="344"/>
      <c r="O36" s="343"/>
      <c r="P36" s="343"/>
      <c r="Q36" s="345"/>
      <c r="R36" s="343"/>
      <c r="S36" s="345"/>
    </row>
    <row r="37" spans="1:19" ht="14.25" customHeight="1" thickBot="1">
      <c r="A37" s="180" t="s">
        <v>272</v>
      </c>
      <c r="B37" s="173">
        <f aca="true" t="shared" si="11" ref="B37:S37">SUM(B8,B14,B18,B22,B27,B32)</f>
        <v>1377840</v>
      </c>
      <c r="C37" s="79">
        <f t="shared" si="11"/>
        <v>849017</v>
      </c>
      <c r="D37" s="79">
        <f t="shared" si="11"/>
        <v>479958</v>
      </c>
      <c r="E37" s="80">
        <f t="shared" si="11"/>
        <v>59262</v>
      </c>
      <c r="F37" s="275">
        <f t="shared" si="11"/>
        <v>1377840</v>
      </c>
      <c r="G37" s="79">
        <f t="shared" si="11"/>
        <v>849017</v>
      </c>
      <c r="H37" s="79">
        <f t="shared" si="11"/>
        <v>479958</v>
      </c>
      <c r="I37" s="80">
        <f t="shared" si="11"/>
        <v>59262</v>
      </c>
      <c r="J37" s="173">
        <f t="shared" si="11"/>
        <v>1538976</v>
      </c>
      <c r="K37" s="79">
        <f t="shared" si="11"/>
        <v>849017</v>
      </c>
      <c r="L37" s="79">
        <f t="shared" si="11"/>
        <v>641094</v>
      </c>
      <c r="M37" s="342">
        <f t="shared" si="11"/>
        <v>59262</v>
      </c>
      <c r="N37" s="173">
        <f t="shared" si="11"/>
        <v>1461792</v>
      </c>
      <c r="O37" s="79">
        <f t="shared" si="11"/>
        <v>847017</v>
      </c>
      <c r="P37" s="79">
        <f t="shared" si="11"/>
        <v>555513</v>
      </c>
      <c r="Q37" s="80">
        <f t="shared" si="11"/>
        <v>59262</v>
      </c>
      <c r="R37" s="79">
        <f t="shared" si="11"/>
        <v>59262</v>
      </c>
      <c r="S37" s="80">
        <f t="shared" si="11"/>
        <v>555513</v>
      </c>
    </row>
    <row r="38" spans="1:19" ht="15">
      <c r="A38" s="101"/>
      <c r="B38" s="101"/>
      <c r="C38" s="101"/>
      <c r="D38" s="101"/>
      <c r="E38" s="101"/>
      <c r="F38" s="287"/>
      <c r="G38" s="287"/>
      <c r="H38" s="287"/>
      <c r="I38" s="287"/>
      <c r="J38" s="287"/>
      <c r="K38" s="287"/>
      <c r="L38" s="287"/>
      <c r="M38" s="287"/>
      <c r="N38" s="279"/>
      <c r="O38" s="279"/>
      <c r="P38" s="279"/>
      <c r="Q38" s="279"/>
      <c r="R38" s="279"/>
      <c r="S38" s="279"/>
    </row>
    <row r="39" spans="1:19" ht="15">
      <c r="A39" s="1307"/>
      <c r="B39" s="1307"/>
      <c r="C39" s="1307"/>
      <c r="D39" s="1307"/>
      <c r="E39" s="1307"/>
      <c r="F39" s="1307"/>
      <c r="G39" s="1307"/>
      <c r="H39" s="1307"/>
      <c r="I39" s="1307"/>
      <c r="J39" s="1307"/>
      <c r="K39" s="1307"/>
      <c r="L39" s="1307"/>
      <c r="M39" s="1307"/>
      <c r="N39" s="1307"/>
      <c r="O39" s="1307"/>
      <c r="P39" s="1307"/>
      <c r="Q39" s="1307"/>
      <c r="R39" s="279"/>
      <c r="S39" s="279"/>
    </row>
    <row r="40" spans="1:19" ht="15">
      <c r="A40" s="101"/>
      <c r="B40" s="101"/>
      <c r="C40" s="101"/>
      <c r="D40" s="101"/>
      <c r="E40" s="101"/>
      <c r="F40" s="287"/>
      <c r="G40" s="287"/>
      <c r="H40" s="287"/>
      <c r="I40" s="287"/>
      <c r="J40" s="287"/>
      <c r="K40" s="287"/>
      <c r="L40" s="287"/>
      <c r="M40" s="287"/>
      <c r="N40" s="279"/>
      <c r="O40" s="279"/>
      <c r="P40" s="279"/>
      <c r="Q40" s="279"/>
      <c r="R40" s="279"/>
      <c r="S40" s="279"/>
    </row>
    <row r="41" spans="1:19" ht="15">
      <c r="A41" s="1308" t="s">
        <v>598</v>
      </c>
      <c r="B41" s="1308"/>
      <c r="C41" s="1308"/>
      <c r="D41" s="1308"/>
      <c r="E41" s="1308"/>
      <c r="F41" s="1308"/>
      <c r="G41" s="1308"/>
      <c r="H41" s="1308"/>
      <c r="I41" s="1308"/>
      <c r="J41" s="1308"/>
      <c r="K41" s="1308"/>
      <c r="L41" s="1308"/>
      <c r="M41" s="1308"/>
      <c r="N41" s="1308"/>
      <c r="O41" s="1308"/>
      <c r="P41" s="1308"/>
      <c r="Q41" s="1308"/>
      <c r="R41" s="1308"/>
      <c r="S41" s="1308"/>
    </row>
    <row r="42" spans="1:19" ht="15.75" thickBot="1">
      <c r="A42" s="181"/>
      <c r="B42" s="181"/>
      <c r="C42" s="181"/>
      <c r="D42" s="181"/>
      <c r="E42" s="181"/>
      <c r="F42" s="287"/>
      <c r="G42" s="287"/>
      <c r="H42" s="287"/>
      <c r="I42" s="287"/>
      <c r="J42" s="287"/>
      <c r="K42" s="287"/>
      <c r="L42" s="287"/>
      <c r="M42" s="287"/>
      <c r="N42" s="279"/>
      <c r="O42" s="279"/>
      <c r="P42" s="279"/>
      <c r="Q42" s="279"/>
      <c r="R42" s="279"/>
      <c r="S42" s="279"/>
    </row>
    <row r="43" spans="1:19" ht="15" thickBot="1">
      <c r="A43" s="1309" t="s">
        <v>280</v>
      </c>
      <c r="B43" s="1312" t="s">
        <v>4</v>
      </c>
      <c r="C43" s="1312"/>
      <c r="D43" s="1312"/>
      <c r="E43" s="1313"/>
      <c r="F43" s="1314" t="s">
        <v>660</v>
      </c>
      <c r="G43" s="1312"/>
      <c r="H43" s="1312"/>
      <c r="I43" s="1313"/>
      <c r="J43" s="1296" t="s">
        <v>722</v>
      </c>
      <c r="K43" s="1297"/>
      <c r="L43" s="1297"/>
      <c r="M43" s="1298"/>
      <c r="N43" s="1296" t="s">
        <v>976</v>
      </c>
      <c r="O43" s="1297"/>
      <c r="P43" s="1297"/>
      <c r="Q43" s="1298"/>
      <c r="R43" s="1297" t="s">
        <v>1032</v>
      </c>
      <c r="S43" s="1298"/>
    </row>
    <row r="44" spans="1:19" ht="14.25">
      <c r="A44" s="1310"/>
      <c r="B44" s="1315" t="s">
        <v>301</v>
      </c>
      <c r="C44" s="1317" t="s">
        <v>281</v>
      </c>
      <c r="D44" s="1317"/>
      <c r="E44" s="1318"/>
      <c r="F44" s="1319" t="s">
        <v>301</v>
      </c>
      <c r="G44" s="1321" t="s">
        <v>281</v>
      </c>
      <c r="H44" s="1322"/>
      <c r="I44" s="1323"/>
      <c r="J44" s="1319" t="s">
        <v>301</v>
      </c>
      <c r="K44" s="1321" t="s">
        <v>281</v>
      </c>
      <c r="L44" s="1322"/>
      <c r="M44" s="1323"/>
      <c r="N44" s="1324" t="s">
        <v>301</v>
      </c>
      <c r="O44" s="1317" t="s">
        <v>281</v>
      </c>
      <c r="P44" s="1317"/>
      <c r="Q44" s="1318"/>
      <c r="R44" s="1302" t="s">
        <v>1214</v>
      </c>
      <c r="S44" s="1303"/>
    </row>
    <row r="45" spans="1:19" ht="117" customHeight="1" thickBot="1">
      <c r="A45" s="1311"/>
      <c r="B45" s="1316"/>
      <c r="C45" s="182" t="s">
        <v>282</v>
      </c>
      <c r="D45" s="182" t="s">
        <v>485</v>
      </c>
      <c r="E45" s="183" t="s">
        <v>486</v>
      </c>
      <c r="F45" s="1320"/>
      <c r="G45" s="182" t="s">
        <v>282</v>
      </c>
      <c r="H45" s="182" t="s">
        <v>485</v>
      </c>
      <c r="I45" s="183" t="s">
        <v>486</v>
      </c>
      <c r="J45" s="1320"/>
      <c r="K45" s="182" t="s">
        <v>282</v>
      </c>
      <c r="L45" s="182" t="s">
        <v>485</v>
      </c>
      <c r="M45" s="183" t="s">
        <v>486</v>
      </c>
      <c r="N45" s="1325"/>
      <c r="O45" s="351" t="s">
        <v>282</v>
      </c>
      <c r="P45" s="351" t="s">
        <v>485</v>
      </c>
      <c r="Q45" s="352" t="s">
        <v>486</v>
      </c>
      <c r="R45" s="351" t="s">
        <v>485</v>
      </c>
      <c r="S45" s="352" t="s">
        <v>486</v>
      </c>
    </row>
    <row r="46" spans="1:19" ht="14.25" customHeight="1">
      <c r="A46" s="184"/>
      <c r="B46" s="107"/>
      <c r="C46" s="107"/>
      <c r="D46" s="107"/>
      <c r="E46" s="108"/>
      <c r="F46" s="107"/>
      <c r="G46" s="107"/>
      <c r="H46" s="107"/>
      <c r="I46" s="108"/>
      <c r="J46" s="184"/>
      <c r="K46" s="107"/>
      <c r="L46" s="107"/>
      <c r="M46" s="346"/>
      <c r="N46" s="353"/>
      <c r="O46" s="354"/>
      <c r="P46" s="354"/>
      <c r="Q46" s="355"/>
      <c r="R46" s="354"/>
      <c r="S46" s="355"/>
    </row>
    <row r="47" spans="1:19" ht="14.25" customHeight="1">
      <c r="A47" s="185" t="s">
        <v>595</v>
      </c>
      <c r="B47" s="78">
        <f aca="true" t="shared" si="12" ref="B47:I47">SUM(B48)</f>
        <v>147300</v>
      </c>
      <c r="C47" s="78">
        <f t="shared" si="12"/>
        <v>0</v>
      </c>
      <c r="D47" s="78">
        <f t="shared" si="12"/>
        <v>147300</v>
      </c>
      <c r="E47" s="104">
        <f t="shared" si="12"/>
        <v>0</v>
      </c>
      <c r="F47" s="78">
        <f>SUM(F48)</f>
        <v>147300</v>
      </c>
      <c r="G47" s="78">
        <f t="shared" si="12"/>
        <v>0</v>
      </c>
      <c r="H47" s="78">
        <f t="shared" si="12"/>
        <v>147300</v>
      </c>
      <c r="I47" s="104">
        <f t="shared" si="12"/>
        <v>0</v>
      </c>
      <c r="J47" s="185">
        <f>SUM(J48)</f>
        <v>0</v>
      </c>
      <c r="K47" s="78">
        <f>SUM(K48)</f>
        <v>0</v>
      </c>
      <c r="L47" s="78">
        <f>SUM(L48)</f>
        <v>0</v>
      </c>
      <c r="M47" s="347">
        <f>SUM(M48)</f>
        <v>0</v>
      </c>
      <c r="N47" s="185">
        <f aca="true" t="shared" si="13" ref="N47:Q48">J47</f>
        <v>0</v>
      </c>
      <c r="O47" s="78">
        <f t="shared" si="13"/>
        <v>0</v>
      </c>
      <c r="P47" s="78">
        <f t="shared" si="13"/>
        <v>0</v>
      </c>
      <c r="Q47" s="104">
        <f t="shared" si="13"/>
        <v>0</v>
      </c>
      <c r="R47" s="78"/>
      <c r="S47" s="104"/>
    </row>
    <row r="48" spans="1:19" ht="14.25" customHeight="1">
      <c r="A48" s="288" t="s">
        <v>51</v>
      </c>
      <c r="B48" s="77">
        <v>147300</v>
      </c>
      <c r="C48" s="77">
        <v>0</v>
      </c>
      <c r="D48" s="77">
        <f>B48-C48</f>
        <v>147300</v>
      </c>
      <c r="E48" s="103"/>
      <c r="F48" s="77">
        <v>147300</v>
      </c>
      <c r="G48" s="77">
        <v>0</v>
      </c>
      <c r="H48" s="77">
        <f>F48-G48</f>
        <v>147300</v>
      </c>
      <c r="I48" s="103"/>
      <c r="J48" s="276">
        <v>0</v>
      </c>
      <c r="K48" s="77">
        <f>G48</f>
        <v>0</v>
      </c>
      <c r="L48" s="77">
        <v>0</v>
      </c>
      <c r="M48" s="339">
        <f>I48</f>
        <v>0</v>
      </c>
      <c r="N48" s="276">
        <f t="shared" si="13"/>
        <v>0</v>
      </c>
      <c r="O48" s="77">
        <f t="shared" si="13"/>
        <v>0</v>
      </c>
      <c r="P48" s="77">
        <f t="shared" si="13"/>
        <v>0</v>
      </c>
      <c r="Q48" s="171">
        <f t="shared" si="13"/>
        <v>0</v>
      </c>
      <c r="R48" s="77"/>
      <c r="S48" s="171"/>
    </row>
    <row r="49" spans="1:19" ht="14.25" customHeight="1">
      <c r="A49" s="186"/>
      <c r="B49" s="102"/>
      <c r="C49" s="102"/>
      <c r="D49" s="102"/>
      <c r="E49" s="103"/>
      <c r="F49" s="102"/>
      <c r="G49" s="102"/>
      <c r="H49" s="102"/>
      <c r="I49" s="103"/>
      <c r="J49" s="186"/>
      <c r="K49" s="102"/>
      <c r="L49" s="102"/>
      <c r="M49" s="348"/>
      <c r="N49" s="344"/>
      <c r="O49" s="343"/>
      <c r="P49" s="343"/>
      <c r="Q49" s="345"/>
      <c r="R49" s="343"/>
      <c r="S49" s="345"/>
    </row>
    <row r="50" spans="1:19" ht="14.25" customHeight="1">
      <c r="A50" s="289" t="s">
        <v>593</v>
      </c>
      <c r="B50" s="290">
        <f aca="true" t="shared" si="14" ref="B50:I50">SUM(B51:B52)</f>
        <v>6350</v>
      </c>
      <c r="C50" s="290">
        <f t="shared" si="14"/>
        <v>0</v>
      </c>
      <c r="D50" s="290">
        <f t="shared" si="14"/>
        <v>6350</v>
      </c>
      <c r="E50" s="291">
        <f t="shared" si="14"/>
        <v>0</v>
      </c>
      <c r="F50" s="290">
        <f t="shared" si="14"/>
        <v>6350</v>
      </c>
      <c r="G50" s="290">
        <f t="shared" si="14"/>
        <v>0</v>
      </c>
      <c r="H50" s="290">
        <f t="shared" si="14"/>
        <v>6350</v>
      </c>
      <c r="I50" s="291">
        <f t="shared" si="14"/>
        <v>0</v>
      </c>
      <c r="J50" s="172">
        <f>SUM(J51)</f>
        <v>6350</v>
      </c>
      <c r="K50" s="290">
        <f>SUM(K51)</f>
        <v>0</v>
      </c>
      <c r="L50" s="290">
        <f>SUM(L51)</f>
        <v>6350</v>
      </c>
      <c r="M50" s="349">
        <f>SUM(M51)</f>
        <v>0</v>
      </c>
      <c r="N50" s="185">
        <v>0</v>
      </c>
      <c r="O50" s="78">
        <f>K50</f>
        <v>0</v>
      </c>
      <c r="P50" s="78">
        <v>0</v>
      </c>
      <c r="Q50" s="104">
        <f>M50</f>
        <v>0</v>
      </c>
      <c r="R50" s="78"/>
      <c r="S50" s="104"/>
    </row>
    <row r="51" spans="1:19" ht="14.25" customHeight="1">
      <c r="A51" s="288" t="s">
        <v>594</v>
      </c>
      <c r="B51" s="292">
        <v>6350</v>
      </c>
      <c r="C51" s="102"/>
      <c r="D51" s="77">
        <f>B51-C51</f>
        <v>6350</v>
      </c>
      <c r="E51" s="103"/>
      <c r="F51" s="292">
        <v>6350</v>
      </c>
      <c r="G51" s="102"/>
      <c r="H51" s="77">
        <f>F51-G51</f>
        <v>6350</v>
      </c>
      <c r="I51" s="103"/>
      <c r="J51" s="170">
        <f>F51</f>
        <v>6350</v>
      </c>
      <c r="K51" s="292">
        <f>G51</f>
        <v>0</v>
      </c>
      <c r="L51" s="292">
        <f>H51</f>
        <v>6350</v>
      </c>
      <c r="M51" s="350">
        <f>I51</f>
        <v>0</v>
      </c>
      <c r="N51" s="276">
        <v>0</v>
      </c>
      <c r="O51" s="77">
        <f>K51</f>
        <v>0</v>
      </c>
      <c r="P51" s="77">
        <v>0</v>
      </c>
      <c r="Q51" s="171">
        <f>M51</f>
        <v>0</v>
      </c>
      <c r="R51" s="77"/>
      <c r="S51" s="171"/>
    </row>
    <row r="52" spans="1:19" ht="14.25" customHeight="1">
      <c r="A52" s="186"/>
      <c r="B52" s="102"/>
      <c r="C52" s="102"/>
      <c r="D52" s="102"/>
      <c r="E52" s="103"/>
      <c r="F52" s="102"/>
      <c r="G52" s="102"/>
      <c r="H52" s="102"/>
      <c r="I52" s="103"/>
      <c r="J52" s="186"/>
      <c r="K52" s="102"/>
      <c r="L52" s="102"/>
      <c r="M52" s="348"/>
      <c r="N52" s="344"/>
      <c r="O52" s="343"/>
      <c r="P52" s="343"/>
      <c r="Q52" s="345"/>
      <c r="R52" s="343"/>
      <c r="S52" s="345"/>
    </row>
    <row r="53" spans="1:19" ht="14.25" customHeight="1">
      <c r="A53" s="289" t="s">
        <v>129</v>
      </c>
      <c r="B53" s="290">
        <f>SUM(B54:B55)</f>
        <v>16392</v>
      </c>
      <c r="C53" s="102"/>
      <c r="D53" s="102">
        <f>B53-C53</f>
        <v>16392</v>
      </c>
      <c r="E53" s="103"/>
      <c r="F53" s="290">
        <f>SUM(F54:F55)</f>
        <v>16392</v>
      </c>
      <c r="G53" s="102"/>
      <c r="H53" s="102">
        <f>F53-G53</f>
        <v>16392</v>
      </c>
      <c r="I53" s="103"/>
      <c r="J53" s="172">
        <f>SUM(J54:J55)</f>
        <v>2556</v>
      </c>
      <c r="K53" s="290">
        <f>SUM(K54:K55)</f>
        <v>0</v>
      </c>
      <c r="L53" s="290">
        <f>SUM(L54:L55)</f>
        <v>2556</v>
      </c>
      <c r="M53" s="349">
        <f>SUM(M54:M55)</f>
        <v>0</v>
      </c>
      <c r="N53" s="185">
        <v>0</v>
      </c>
      <c r="O53" s="78">
        <f>K53</f>
        <v>0</v>
      </c>
      <c r="P53" s="78">
        <v>0</v>
      </c>
      <c r="Q53" s="104">
        <f>M53</f>
        <v>0</v>
      </c>
      <c r="R53" s="78"/>
      <c r="S53" s="104"/>
    </row>
    <row r="54" spans="1:19" ht="28.5" customHeight="1">
      <c r="A54" s="288" t="s">
        <v>59</v>
      </c>
      <c r="B54" s="292">
        <v>15000</v>
      </c>
      <c r="C54" s="102"/>
      <c r="D54" s="77">
        <f>B54-C54</f>
        <v>15000</v>
      </c>
      <c r="E54" s="103"/>
      <c r="F54" s="292">
        <v>15000</v>
      </c>
      <c r="G54" s="102"/>
      <c r="H54" s="77">
        <f>F54-G54</f>
        <v>15000</v>
      </c>
      <c r="I54" s="103"/>
      <c r="J54" s="170">
        <f>F54-13836</f>
        <v>1164</v>
      </c>
      <c r="K54" s="292">
        <f>G54</f>
        <v>0</v>
      </c>
      <c r="L54" s="292">
        <f>J54</f>
        <v>1164</v>
      </c>
      <c r="M54" s="350">
        <f>I54</f>
        <v>0</v>
      </c>
      <c r="N54" s="276">
        <v>0</v>
      </c>
      <c r="O54" s="77">
        <f>K54</f>
        <v>0</v>
      </c>
      <c r="P54" s="77">
        <v>0</v>
      </c>
      <c r="Q54" s="171">
        <f>M54</f>
        <v>0</v>
      </c>
      <c r="R54" s="77"/>
      <c r="S54" s="171"/>
    </row>
    <row r="55" spans="1:19" ht="14.25" customHeight="1">
      <c r="A55" s="288" t="s">
        <v>596</v>
      </c>
      <c r="B55" s="292">
        <v>1392</v>
      </c>
      <c r="C55" s="102"/>
      <c r="D55" s="77">
        <f>B55-C55</f>
        <v>1392</v>
      </c>
      <c r="E55" s="103"/>
      <c r="F55" s="292">
        <v>1392</v>
      </c>
      <c r="G55" s="102"/>
      <c r="H55" s="77">
        <f>F55-G55</f>
        <v>1392</v>
      </c>
      <c r="I55" s="103"/>
      <c r="J55" s="170">
        <f>F55</f>
        <v>1392</v>
      </c>
      <c r="K55" s="292">
        <f>G55</f>
        <v>0</v>
      </c>
      <c r="L55" s="292">
        <f>H55</f>
        <v>1392</v>
      </c>
      <c r="M55" s="350">
        <f>I55</f>
        <v>0</v>
      </c>
      <c r="N55" s="276">
        <v>0</v>
      </c>
      <c r="O55" s="77">
        <f>K55</f>
        <v>0</v>
      </c>
      <c r="P55" s="77">
        <v>0</v>
      </c>
      <c r="Q55" s="171">
        <f>M55</f>
        <v>0</v>
      </c>
      <c r="R55" s="77"/>
      <c r="S55" s="171"/>
    </row>
    <row r="56" spans="1:19" ht="14.25" customHeight="1">
      <c r="A56" s="186"/>
      <c r="B56" s="102"/>
      <c r="C56" s="102"/>
      <c r="D56" s="102"/>
      <c r="E56" s="103"/>
      <c r="F56" s="102"/>
      <c r="G56" s="102"/>
      <c r="H56" s="102"/>
      <c r="I56" s="103"/>
      <c r="J56" s="186"/>
      <c r="K56" s="102"/>
      <c r="L56" s="102"/>
      <c r="M56" s="348"/>
      <c r="N56" s="344"/>
      <c r="O56" s="343"/>
      <c r="P56" s="343"/>
      <c r="Q56" s="345"/>
      <c r="R56" s="343"/>
      <c r="S56" s="345"/>
    </row>
    <row r="57" spans="1:19" ht="14.25" customHeight="1" thickBot="1">
      <c r="A57" s="173" t="s">
        <v>272</v>
      </c>
      <c r="B57" s="79">
        <f aca="true" t="shared" si="15" ref="B57:I57">B47+B50+B53</f>
        <v>170042</v>
      </c>
      <c r="C57" s="79">
        <f t="shared" si="15"/>
        <v>0</v>
      </c>
      <c r="D57" s="79">
        <f t="shared" si="15"/>
        <v>170042</v>
      </c>
      <c r="E57" s="80">
        <f t="shared" si="15"/>
        <v>0</v>
      </c>
      <c r="F57" s="79">
        <f t="shared" si="15"/>
        <v>170042</v>
      </c>
      <c r="G57" s="79">
        <f t="shared" si="15"/>
        <v>0</v>
      </c>
      <c r="H57" s="79">
        <f t="shared" si="15"/>
        <v>170042</v>
      </c>
      <c r="I57" s="80">
        <f t="shared" si="15"/>
        <v>0</v>
      </c>
      <c r="J57" s="173">
        <f>SUM(J47,J50,J53)</f>
        <v>8906</v>
      </c>
      <c r="K57" s="79">
        <f>SUM(K47,K50,K53)</f>
        <v>0</v>
      </c>
      <c r="L57" s="79">
        <f>SUM(L47,L50,L53)</f>
        <v>8906</v>
      </c>
      <c r="M57" s="342">
        <f>SUM(M47,M50,M53)</f>
        <v>0</v>
      </c>
      <c r="N57" s="173">
        <v>0</v>
      </c>
      <c r="O57" s="79">
        <f>K57</f>
        <v>0</v>
      </c>
      <c r="P57" s="79">
        <v>0</v>
      </c>
      <c r="Q57" s="80">
        <f>M57</f>
        <v>0</v>
      </c>
      <c r="R57" s="79"/>
      <c r="S57" s="80"/>
    </row>
    <row r="58" spans="1:19" ht="15">
      <c r="A58" s="100"/>
      <c r="B58" s="101"/>
      <c r="C58" s="101"/>
      <c r="D58" s="101"/>
      <c r="E58" s="101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</row>
    <row r="59" spans="1:19" ht="14.25">
      <c r="A59" s="293" t="s">
        <v>599</v>
      </c>
      <c r="B59" s="294"/>
      <c r="C59" s="294"/>
      <c r="D59" s="294">
        <f>SUM(D37,D57)</f>
        <v>650000</v>
      </c>
      <c r="E59" s="294">
        <f>SUM(E37,E57)</f>
        <v>59262</v>
      </c>
      <c r="F59" s="294"/>
      <c r="G59" s="294"/>
      <c r="H59" s="294">
        <f>SUM(H37,H57)</f>
        <v>650000</v>
      </c>
      <c r="I59" s="294">
        <f>SUM(I37,I57)</f>
        <v>59262</v>
      </c>
      <c r="J59" s="294"/>
      <c r="K59" s="294"/>
      <c r="L59" s="294">
        <f>SUM(L37,L57)</f>
        <v>650000</v>
      </c>
      <c r="M59" s="294">
        <f>SUM(M37,M57)</f>
        <v>59262</v>
      </c>
      <c r="N59" s="294"/>
      <c r="O59" s="294"/>
      <c r="P59" s="294">
        <f>SUM(P37,P57)</f>
        <v>555513</v>
      </c>
      <c r="Q59" s="294">
        <f>SUM(Q37,Q57)</f>
        <v>59262</v>
      </c>
      <c r="R59" s="294">
        <f>SUM(R37,R57)</f>
        <v>59262</v>
      </c>
      <c r="S59" s="294">
        <f>SUM(S37,S57)</f>
        <v>555513</v>
      </c>
    </row>
    <row r="60" spans="1:19" ht="15">
      <c r="A60" s="279"/>
      <c r="B60" s="287"/>
      <c r="C60" s="287"/>
      <c r="D60" s="287"/>
      <c r="E60" s="287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</row>
  </sheetData>
  <sheetProtection/>
  <mergeCells count="34">
    <mergeCell ref="O44:Q44"/>
    <mergeCell ref="R44:S44"/>
    <mergeCell ref="C44:E44"/>
    <mergeCell ref="F44:F45"/>
    <mergeCell ref="G44:I44"/>
    <mergeCell ref="J44:J45"/>
    <mergeCell ref="K44:M44"/>
    <mergeCell ref="N44:N45"/>
    <mergeCell ref="R6:S6"/>
    <mergeCell ref="A39:Q39"/>
    <mergeCell ref="A41:S41"/>
    <mergeCell ref="A43:A45"/>
    <mergeCell ref="B43:E43"/>
    <mergeCell ref="F43:I43"/>
    <mergeCell ref="J43:M43"/>
    <mergeCell ref="N43:Q43"/>
    <mergeCell ref="R43:S43"/>
    <mergeCell ref="B44:B45"/>
    <mergeCell ref="F6:F7"/>
    <mergeCell ref="G6:I6"/>
    <mergeCell ref="J6:J7"/>
    <mergeCell ref="K6:M6"/>
    <mergeCell ref="N6:N7"/>
    <mergeCell ref="O6:Q6"/>
    <mergeCell ref="A1:S1"/>
    <mergeCell ref="A3:S3"/>
    <mergeCell ref="A5:A7"/>
    <mergeCell ref="B5:E5"/>
    <mergeCell ref="F5:I5"/>
    <mergeCell ref="J5:M5"/>
    <mergeCell ref="N5:Q5"/>
    <mergeCell ref="R5:S5"/>
    <mergeCell ref="B6:B7"/>
    <mergeCell ref="C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&amp;L16. melléklet a 16/2016.(V.26.)  önkormányzati rendelethez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1"/>
  <sheetViews>
    <sheetView view="pageBreakPreview" zoomScale="75" zoomScaleSheetLayoutView="75" workbookViewId="0" topLeftCell="A37">
      <selection activeCell="H25" sqref="H25"/>
    </sheetView>
  </sheetViews>
  <sheetFormatPr defaultColWidth="9.00390625" defaultRowHeight="12.75"/>
  <cols>
    <col min="1" max="1" width="60.875" style="64" customWidth="1"/>
    <col min="2" max="4" width="14.625" style="38" customWidth="1"/>
    <col min="5" max="5" width="56.00390625" style="64" customWidth="1"/>
    <col min="6" max="6" width="14.625" style="38" customWidth="1"/>
    <col min="7" max="7" width="14.75390625" style="39" customWidth="1"/>
    <col min="8" max="8" width="14.375" style="39" customWidth="1"/>
    <col min="9" max="16384" width="9.125" style="39" customWidth="1"/>
  </cols>
  <sheetData>
    <row r="1" spans="1:8" s="37" customFormat="1" ht="15" customHeight="1">
      <c r="A1" s="1158" t="s">
        <v>25</v>
      </c>
      <c r="B1" s="1158"/>
      <c r="C1" s="1158"/>
      <c r="D1" s="1158"/>
      <c r="E1" s="1158"/>
      <c r="F1" s="1158"/>
      <c r="G1" s="1158"/>
      <c r="H1" s="1158"/>
    </row>
    <row r="2" ht="15.75" thickBot="1"/>
    <row r="3" spans="1:8" ht="15" thickBot="1">
      <c r="A3" s="1159" t="s">
        <v>259</v>
      </c>
      <c r="B3" s="1160"/>
      <c r="C3" s="1160"/>
      <c r="D3" s="1161"/>
      <c r="E3" s="1159" t="s">
        <v>260</v>
      </c>
      <c r="F3" s="1160"/>
      <c r="G3" s="1160"/>
      <c r="H3" s="1161"/>
    </row>
    <row r="4" spans="1:8" ht="15" customHeight="1" thickBot="1">
      <c r="A4" s="223" t="s">
        <v>621</v>
      </c>
      <c r="B4" s="120" t="s">
        <v>4</v>
      </c>
      <c r="C4" s="119" t="s">
        <v>976</v>
      </c>
      <c r="D4" s="119" t="s">
        <v>1032</v>
      </c>
      <c r="E4" s="416" t="s">
        <v>621</v>
      </c>
      <c r="F4" s="267" t="s">
        <v>4</v>
      </c>
      <c r="G4" s="119" t="s">
        <v>976</v>
      </c>
      <c r="H4" s="119" t="s">
        <v>1032</v>
      </c>
    </row>
    <row r="5" spans="1:8" ht="14.25">
      <c r="A5" s="224" t="s">
        <v>588</v>
      </c>
      <c r="B5" s="238">
        <f>SUM(B6)</f>
        <v>1107179</v>
      </c>
      <c r="C5" s="517">
        <f>SUM(C6:C8)</f>
        <v>1202020</v>
      </c>
      <c r="D5" s="517">
        <f>SUM(D6:D8)</f>
        <v>1202021</v>
      </c>
      <c r="E5" s="403" t="s">
        <v>261</v>
      </c>
      <c r="F5" s="222">
        <f>'4.sz. melléklet'!P6</f>
        <v>1161453</v>
      </c>
      <c r="G5" s="516">
        <f>'4.sz. melléklet'!Q6</f>
        <v>1155076</v>
      </c>
      <c r="H5" s="516">
        <f>'4.sz. melléklet'!R6</f>
        <v>1105197</v>
      </c>
    </row>
    <row r="6" spans="1:8" ht="15">
      <c r="A6" s="225" t="s">
        <v>679</v>
      </c>
      <c r="B6" s="239">
        <f>'3. sz. melléklet'!N7</f>
        <v>1107179</v>
      </c>
      <c r="C6" s="239">
        <f>'3. sz. melléklet'!O7</f>
        <v>1163047</v>
      </c>
      <c r="D6" s="239">
        <f>'3. sz. melléklet'!P7</f>
        <v>1163048</v>
      </c>
      <c r="E6" s="404" t="s">
        <v>262</v>
      </c>
      <c r="F6" s="217">
        <f>'4.sz. melléklet'!P7</f>
        <v>308445</v>
      </c>
      <c r="G6" s="217">
        <f>'4.sz. melléklet'!Q7</f>
        <v>313207</v>
      </c>
      <c r="H6" s="217">
        <f>'4.sz. melléklet'!R7</f>
        <v>300447</v>
      </c>
    </row>
    <row r="7" spans="1:8" ht="15">
      <c r="A7" s="225" t="s">
        <v>738</v>
      </c>
      <c r="B7" s="239"/>
      <c r="C7" s="239">
        <f>'3. sz. melléklet'!O8</f>
        <v>4841</v>
      </c>
      <c r="D7" s="239">
        <f>'3. sz. melléklet'!P8</f>
        <v>4841</v>
      </c>
      <c r="E7" s="404"/>
      <c r="F7" s="217"/>
      <c r="G7" s="117"/>
      <c r="H7" s="117"/>
    </row>
    <row r="8" spans="1:8" ht="15">
      <c r="A8" s="225" t="s">
        <v>686</v>
      </c>
      <c r="B8" s="239"/>
      <c r="C8" s="239">
        <f>'3. sz. melléklet'!O9</f>
        <v>34132</v>
      </c>
      <c r="D8" s="239">
        <f>'3. sz. melléklet'!P9</f>
        <v>34132</v>
      </c>
      <c r="E8" s="404"/>
      <c r="F8" s="217"/>
      <c r="G8" s="117"/>
      <c r="H8" s="117"/>
    </row>
    <row r="9" spans="1:8" ht="14.25">
      <c r="A9" s="226" t="s">
        <v>589</v>
      </c>
      <c r="B9" s="240">
        <f>SUM(B10:B11)</f>
        <v>421160</v>
      </c>
      <c r="C9" s="240">
        <f>SUM(C10:C12)</f>
        <v>778992</v>
      </c>
      <c r="D9" s="240">
        <f>SUM(D10:D12)</f>
        <v>776418</v>
      </c>
      <c r="E9" s="404" t="s">
        <v>263</v>
      </c>
      <c r="F9" s="217">
        <f>'4.sz. melléklet'!P8</f>
        <v>1723449</v>
      </c>
      <c r="G9" s="217">
        <f>'4.sz. melléklet'!Q8</f>
        <v>2042840</v>
      </c>
      <c r="H9" s="217">
        <f>'4.sz. melléklet'!R8</f>
        <v>1845788</v>
      </c>
    </row>
    <row r="10" spans="1:8" ht="15">
      <c r="A10" s="227" t="s">
        <v>566</v>
      </c>
      <c r="B10" s="115">
        <f>'3. sz. melléklet'!N11</f>
        <v>107209</v>
      </c>
      <c r="C10" s="115">
        <f>'3. sz. melléklet'!O11</f>
        <v>6490</v>
      </c>
      <c r="D10" s="115">
        <f>'3. sz. melléklet'!P11</f>
        <v>6490</v>
      </c>
      <c r="E10" s="404" t="s">
        <v>569</v>
      </c>
      <c r="F10" s="217">
        <f>'4.sz. melléklet'!P9</f>
        <v>62251</v>
      </c>
      <c r="G10" s="217">
        <f>'4.sz. melléklet'!Q9</f>
        <v>98228</v>
      </c>
      <c r="H10" s="217">
        <f>'4.sz. melléklet'!R9</f>
        <v>90566</v>
      </c>
    </row>
    <row r="11" spans="1:8" ht="15">
      <c r="A11" s="227" t="s">
        <v>591</v>
      </c>
      <c r="B11" s="115">
        <f>'3. sz. melléklet'!N12</f>
        <v>313951</v>
      </c>
      <c r="C11" s="115">
        <f>'3. sz. melléklet'!O12</f>
        <v>742502</v>
      </c>
      <c r="D11" s="115">
        <f>'3. sz. melléklet'!P12</f>
        <v>739928</v>
      </c>
      <c r="E11" s="404" t="s">
        <v>564</v>
      </c>
      <c r="F11" s="217">
        <f>SUM(F13+F14+F15+F20)</f>
        <v>1111548</v>
      </c>
      <c r="G11" s="217">
        <f>SUM(G13+G14+G15+G20)</f>
        <v>1000155</v>
      </c>
      <c r="H11" s="217">
        <f>SUM(H13+H14+H15+H20)</f>
        <v>976903</v>
      </c>
    </row>
    <row r="12" spans="1:8" ht="15">
      <c r="A12" s="227" t="s">
        <v>812</v>
      </c>
      <c r="B12" s="115"/>
      <c r="C12" s="115">
        <f>'3. sz. melléklet'!O13</f>
        <v>30000</v>
      </c>
      <c r="D12" s="115">
        <f>'3. sz. melléklet'!P13</f>
        <v>30000</v>
      </c>
      <c r="E12" s="404"/>
      <c r="F12" s="217"/>
      <c r="G12" s="217"/>
      <c r="H12" s="117"/>
    </row>
    <row r="13" spans="1:8" ht="15">
      <c r="A13" s="226" t="s">
        <v>264</v>
      </c>
      <c r="B13" s="240">
        <f>SUM(B14:B17)</f>
        <v>1918951</v>
      </c>
      <c r="C13" s="240">
        <f>SUM(C14:C18)</f>
        <v>2054674</v>
      </c>
      <c r="D13" s="240">
        <f>SUM(D14:D19)</f>
        <v>2056818</v>
      </c>
      <c r="E13" s="405" t="s">
        <v>576</v>
      </c>
      <c r="F13" s="218">
        <f>'4.sz. melléklet'!P11</f>
        <v>42220</v>
      </c>
      <c r="G13" s="218">
        <f>'4.sz. melléklet'!Q11</f>
        <v>38355</v>
      </c>
      <c r="H13" s="218">
        <f>'4.sz. melléklet'!R11</f>
        <v>37956</v>
      </c>
    </row>
    <row r="14" spans="1:8" ht="15">
      <c r="A14" s="227" t="s">
        <v>601</v>
      </c>
      <c r="B14" s="115">
        <f>'3. sz. melléklet'!N21</f>
        <v>430000</v>
      </c>
      <c r="C14" s="115">
        <f>'3. sz. melléklet'!O21</f>
        <v>498077</v>
      </c>
      <c r="D14" s="115">
        <f>'3. sz. melléklet'!P21</f>
        <v>498077</v>
      </c>
      <c r="E14" s="406" t="s">
        <v>577</v>
      </c>
      <c r="F14" s="218">
        <f>'4.sz. melléklet'!P12</f>
        <v>867928</v>
      </c>
      <c r="G14" s="218">
        <f>'4.sz. melléklet'!Q12</f>
        <v>916991</v>
      </c>
      <c r="H14" s="218">
        <f>'4.sz. melléklet'!R12</f>
        <v>898310</v>
      </c>
    </row>
    <row r="15" spans="1:8" ht="15">
      <c r="A15" s="227" t="s">
        <v>572</v>
      </c>
      <c r="B15" s="115">
        <f>'3. sz. melléklet'!N24</f>
        <v>1468951</v>
      </c>
      <c r="C15" s="115">
        <f>'3. sz. melléklet'!O24</f>
        <v>1540998</v>
      </c>
      <c r="D15" s="115">
        <f>'3. sz. melléklet'!P24</f>
        <v>1540997</v>
      </c>
      <c r="E15" s="406" t="s">
        <v>646</v>
      </c>
      <c r="F15" s="218">
        <f>SUM(F16:F18)</f>
        <v>193800</v>
      </c>
      <c r="G15" s="218">
        <f>SUM(G16:G18)</f>
        <v>4168</v>
      </c>
      <c r="H15" s="629">
        <f>SUM(H16:H18)</f>
        <v>0</v>
      </c>
    </row>
    <row r="16" spans="1:8" ht="15">
      <c r="A16" s="227" t="s">
        <v>34</v>
      </c>
      <c r="B16" s="115">
        <f>'3. sz. melléklet'!N29</f>
        <v>19500</v>
      </c>
      <c r="C16" s="115">
        <f>'3. sz. melléklet'!O29</f>
        <v>10420</v>
      </c>
      <c r="D16" s="115">
        <f>'3. sz. melléklet'!P29</f>
        <v>10420</v>
      </c>
      <c r="E16" s="407" t="s">
        <v>568</v>
      </c>
      <c r="F16" s="219">
        <f>'4.sz. melléklet'!P14</f>
        <v>15000</v>
      </c>
      <c r="G16" s="219">
        <f>'4.sz. melléklet'!Q14</f>
        <v>3211</v>
      </c>
      <c r="H16" s="630">
        <f>'4.sz. melléklet'!R14</f>
        <v>0</v>
      </c>
    </row>
    <row r="17" spans="1:8" ht="15" customHeight="1">
      <c r="A17" s="227" t="s">
        <v>492</v>
      </c>
      <c r="B17" s="115">
        <f>'3. sz. melléklet'!N30</f>
        <v>500</v>
      </c>
      <c r="C17" s="115">
        <f>'3. sz. melléklet'!O30</f>
        <v>4097</v>
      </c>
      <c r="D17" s="115">
        <f>'3. sz. melléklet'!P30</f>
        <v>6204</v>
      </c>
      <c r="E17" s="407" t="s">
        <v>31</v>
      </c>
      <c r="F17" s="219">
        <f>'4.sz. melléklet'!P15</f>
        <v>100000</v>
      </c>
      <c r="G17" s="219">
        <f>'4.sz. melléklet'!Q15</f>
        <v>957</v>
      </c>
      <c r="H17" s="630">
        <f>'4.sz. melléklet'!R15</f>
        <v>0</v>
      </c>
    </row>
    <row r="18" spans="1:8" ht="15" customHeight="1">
      <c r="A18" s="227" t="s">
        <v>1019</v>
      </c>
      <c r="B18" s="115"/>
      <c r="C18" s="115">
        <f>'3. sz. melléklet'!O31</f>
        <v>1082</v>
      </c>
      <c r="D18" s="115">
        <f>'3. sz. melléklet'!P31</f>
        <v>1095</v>
      </c>
      <c r="E18" s="407" t="s">
        <v>578</v>
      </c>
      <c r="F18" s="219">
        <f>'4.sz. melléklet'!P16</f>
        <v>78800</v>
      </c>
      <c r="G18" s="219">
        <f>'4.sz. melléklet'!Q16</f>
        <v>0</v>
      </c>
      <c r="H18" s="630">
        <f>'4.sz. melléklet'!R16</f>
        <v>0</v>
      </c>
    </row>
    <row r="19" spans="1:8" ht="15" customHeight="1">
      <c r="A19" s="227" t="s">
        <v>1044</v>
      </c>
      <c r="B19" s="115"/>
      <c r="C19" s="115"/>
      <c r="D19" s="115">
        <v>25</v>
      </c>
      <c r="E19" s="407"/>
      <c r="F19" s="219"/>
      <c r="G19" s="219"/>
      <c r="H19" s="219"/>
    </row>
    <row r="20" spans="1:8" ht="15">
      <c r="A20" s="226" t="s">
        <v>608</v>
      </c>
      <c r="B20" s="240">
        <f>SUM(B21:B28)</f>
        <v>1224609</v>
      </c>
      <c r="C20" s="240">
        <f>SUM(C21:C28)</f>
        <v>685677</v>
      </c>
      <c r="D20" s="240">
        <f>SUM(D21:D28)</f>
        <v>547940</v>
      </c>
      <c r="E20" s="408" t="s">
        <v>32</v>
      </c>
      <c r="F20" s="523">
        <f>'4.sz. melléklet'!P17</f>
        <v>7600</v>
      </c>
      <c r="G20" s="523">
        <f>'4.sz. melléklet'!Q17</f>
        <v>40641</v>
      </c>
      <c r="H20" s="523">
        <f>'4.sz. melléklet'!R17</f>
        <v>40637</v>
      </c>
    </row>
    <row r="21" spans="1:8" ht="30">
      <c r="A21" s="228" t="s">
        <v>204</v>
      </c>
      <c r="B21" s="115">
        <f>'3. sz. melléklet'!N34</f>
        <v>523842</v>
      </c>
      <c r="C21" s="115">
        <f>'3. sz. melléklet'!O34</f>
        <v>198561</v>
      </c>
      <c r="D21" s="115">
        <f>'3. sz. melléklet'!P34</f>
        <v>60490</v>
      </c>
      <c r="E21" s="408"/>
      <c r="F21" s="219"/>
      <c r="G21" s="219"/>
      <c r="H21" s="117"/>
    </row>
    <row r="22" spans="1:8" ht="15">
      <c r="A22" s="228" t="s">
        <v>573</v>
      </c>
      <c r="B22" s="115">
        <f>'3. sz. melléklet'!N35</f>
        <v>90640</v>
      </c>
      <c r="C22" s="115">
        <f>'3. sz. melléklet'!O35</f>
        <v>107239</v>
      </c>
      <c r="D22" s="115">
        <f>'3. sz. melléklet'!P35</f>
        <v>104729</v>
      </c>
      <c r="E22" s="409"/>
      <c r="F22" s="219"/>
      <c r="G22" s="117"/>
      <c r="H22" s="117"/>
    </row>
    <row r="23" spans="1:8" ht="15">
      <c r="A23" s="228" t="s">
        <v>36</v>
      </c>
      <c r="B23" s="115">
        <f>'3. sz. melléklet'!N36</f>
        <v>32100</v>
      </c>
      <c r="C23" s="115">
        <f>'3. sz. melléklet'!O36</f>
        <v>29603</v>
      </c>
      <c r="D23" s="115">
        <f>'3. sz. melléklet'!P36</f>
        <v>30884</v>
      </c>
      <c r="E23" s="409"/>
      <c r="F23" s="219"/>
      <c r="G23" s="117"/>
      <c r="H23" s="117"/>
    </row>
    <row r="24" spans="1:8" ht="15">
      <c r="A24" s="228" t="s">
        <v>574</v>
      </c>
      <c r="B24" s="115">
        <f>'3. sz. melléklet'!N37</f>
        <v>101169</v>
      </c>
      <c r="C24" s="115">
        <f>'3. sz. melléklet'!O37</f>
        <v>120887</v>
      </c>
      <c r="D24" s="115">
        <f>'3. sz. melléklet'!P37</f>
        <v>120551</v>
      </c>
      <c r="E24" s="410"/>
      <c r="F24" s="218"/>
      <c r="G24" s="117"/>
      <c r="H24" s="117"/>
    </row>
    <row r="25" spans="1:8" ht="15">
      <c r="A25" s="228" t="s">
        <v>610</v>
      </c>
      <c r="B25" s="115">
        <f>'3. sz. melléklet'!N39</f>
        <v>92312</v>
      </c>
      <c r="C25" s="115">
        <f>'3. sz. melléklet'!O39</f>
        <v>93662</v>
      </c>
      <c r="D25" s="115">
        <f>'3. sz. melléklet'!P39</f>
        <v>92190</v>
      </c>
      <c r="E25" s="411"/>
      <c r="F25" s="220"/>
      <c r="G25" s="117"/>
      <c r="H25" s="117"/>
    </row>
    <row r="26" spans="1:8" ht="15">
      <c r="A26" s="228" t="s">
        <v>151</v>
      </c>
      <c r="B26" s="115">
        <f>'3. sz. melléklet'!N40</f>
        <v>237476</v>
      </c>
      <c r="C26" s="115">
        <f>'3. sz. melléklet'!O40</f>
        <v>131272</v>
      </c>
      <c r="D26" s="115">
        <f>'3. sz. melléklet'!P40</f>
        <v>129564</v>
      </c>
      <c r="E26" s="411"/>
      <c r="F26" s="220"/>
      <c r="G26" s="117"/>
      <c r="H26" s="117"/>
    </row>
    <row r="27" spans="1:8" ht="15">
      <c r="A27" s="228" t="s">
        <v>611</v>
      </c>
      <c r="B27" s="115">
        <f>'3. sz. melléklet'!N41</f>
        <v>16766</v>
      </c>
      <c r="C27" s="115">
        <f>'3. sz. melléklet'!O41</f>
        <v>3789</v>
      </c>
      <c r="D27" s="115">
        <f>'3. sz. melléklet'!P41</f>
        <v>1821</v>
      </c>
      <c r="E27" s="405"/>
      <c r="F27" s="218"/>
      <c r="G27" s="117"/>
      <c r="H27" s="117"/>
    </row>
    <row r="28" spans="1:8" ht="15">
      <c r="A28" s="228" t="s">
        <v>134</v>
      </c>
      <c r="B28" s="115">
        <f>'3. sz. melléklet'!N42</f>
        <v>130304</v>
      </c>
      <c r="C28" s="115">
        <f>'3. sz. melléklet'!O42</f>
        <v>664</v>
      </c>
      <c r="D28" s="115">
        <f>'3. sz. melléklet'!P42</f>
        <v>7711</v>
      </c>
      <c r="E28" s="412"/>
      <c r="F28" s="218"/>
      <c r="G28" s="117"/>
      <c r="H28" s="117"/>
    </row>
    <row r="29" spans="1:8" ht="15">
      <c r="A29" s="229" t="s">
        <v>265</v>
      </c>
      <c r="B29" s="240">
        <f>SUM(B30:B31)</f>
        <v>304753</v>
      </c>
      <c r="C29" s="240">
        <f>SUM(C30:C31)</f>
        <v>232363</v>
      </c>
      <c r="D29" s="240">
        <f>SUM(D30:D31)</f>
        <v>124492</v>
      </c>
      <c r="E29" s="405"/>
      <c r="F29" s="218"/>
      <c r="G29" s="117"/>
      <c r="H29" s="117"/>
    </row>
    <row r="30" spans="1:254" ht="15">
      <c r="A30" s="228" t="s">
        <v>575</v>
      </c>
      <c r="B30" s="115">
        <v>174449</v>
      </c>
      <c r="C30" s="242">
        <v>232363</v>
      </c>
      <c r="D30" s="242">
        <v>124492</v>
      </c>
      <c r="E30" s="405"/>
      <c r="F30" s="218"/>
      <c r="G30" s="117"/>
      <c r="H30" s="117"/>
      <c r="IS30" s="40"/>
      <c r="IT30" s="40"/>
    </row>
    <row r="31" spans="1:254" ht="15">
      <c r="A31" s="230" t="s">
        <v>302</v>
      </c>
      <c r="B31" s="241">
        <f>'3. sz. melléklet'!B42</f>
        <v>130304</v>
      </c>
      <c r="C31" s="241">
        <v>0</v>
      </c>
      <c r="D31" s="241">
        <v>0</v>
      </c>
      <c r="E31" s="405"/>
      <c r="F31" s="218"/>
      <c r="G31" s="117"/>
      <c r="H31" s="117"/>
      <c r="IS31" s="40"/>
      <c r="IT31" s="40"/>
    </row>
    <row r="32" spans="1:254" ht="30.75" customHeight="1">
      <c r="A32" s="231" t="s">
        <v>709</v>
      </c>
      <c r="B32" s="242"/>
      <c r="C32" s="518">
        <f>SUM(C33:C34)</f>
        <v>27037</v>
      </c>
      <c r="D32" s="518">
        <f>SUM(D33:D34)</f>
        <v>23660</v>
      </c>
      <c r="E32" s="405"/>
      <c r="F32" s="218"/>
      <c r="G32" s="117"/>
      <c r="H32" s="117"/>
      <c r="IS32" s="40"/>
      <c r="IT32" s="40"/>
    </row>
    <row r="33" spans="1:254" ht="15">
      <c r="A33" s="232" t="s">
        <v>566</v>
      </c>
      <c r="B33" s="242"/>
      <c r="C33" s="115">
        <f>'3. sz. melléklet'!O48</f>
        <v>17000</v>
      </c>
      <c r="D33" s="115">
        <f>'3. sz. melléklet'!P48</f>
        <v>17000</v>
      </c>
      <c r="E33" s="405"/>
      <c r="F33" s="218"/>
      <c r="G33" s="117"/>
      <c r="H33" s="117"/>
      <c r="IS33" s="40"/>
      <c r="IT33" s="40"/>
    </row>
    <row r="34" spans="1:254" ht="15">
      <c r="A34" s="232" t="s">
        <v>591</v>
      </c>
      <c r="B34" s="242"/>
      <c r="C34" s="115">
        <f>'3. sz. melléklet'!O49</f>
        <v>10037</v>
      </c>
      <c r="D34" s="115">
        <f>'3. sz. melléklet'!P49</f>
        <v>6660</v>
      </c>
      <c r="E34" s="405"/>
      <c r="F34" s="218"/>
      <c r="G34" s="117"/>
      <c r="H34" s="117"/>
      <c r="IS34" s="40"/>
      <c r="IT34" s="40"/>
    </row>
    <row r="35" spans="1:8" s="40" customFormat="1" ht="15" thickBot="1">
      <c r="A35" s="233" t="s">
        <v>266</v>
      </c>
      <c r="B35" s="243">
        <f>SUM(B5+B9+B13+B20-B29)</f>
        <v>4367146</v>
      </c>
      <c r="C35" s="243">
        <f>SUM(C5+C9+C13+C20-C29+C32)</f>
        <v>4516037</v>
      </c>
      <c r="D35" s="243">
        <f>SUM(D5+D9+D13+D20-D29+D32)</f>
        <v>4482365</v>
      </c>
      <c r="E35" s="404" t="s">
        <v>267</v>
      </c>
      <c r="F35" s="217">
        <f>SUM(F5+F6+F9+F10+F11)</f>
        <v>4367146</v>
      </c>
      <c r="G35" s="217">
        <f>SUM(G5+G6+G9+G10+G11)</f>
        <v>4609506</v>
      </c>
      <c r="H35" s="217">
        <f>SUM(H5+H6+H9+H10+H11)</f>
        <v>4318901</v>
      </c>
    </row>
    <row r="36" spans="1:8" s="40" customFormat="1" ht="15" thickBot="1">
      <c r="A36" s="234" t="s">
        <v>268</v>
      </c>
      <c r="B36" s="244">
        <f>B35-F35</f>
        <v>0</v>
      </c>
      <c r="C36" s="244"/>
      <c r="D36" s="244"/>
      <c r="E36" s="413" t="s">
        <v>706</v>
      </c>
      <c r="F36" s="217"/>
      <c r="G36" s="217">
        <f>'4.sz. melléklet'!Q32</f>
        <v>1500000</v>
      </c>
      <c r="H36" s="217">
        <f>'4.sz. melléklet'!R32</f>
        <v>1500000</v>
      </c>
    </row>
    <row r="37" spans="1:8" s="40" customFormat="1" ht="15" thickBot="1">
      <c r="A37" s="234" t="s">
        <v>258</v>
      </c>
      <c r="B37" s="244"/>
      <c r="C37" s="264">
        <v>53359</v>
      </c>
      <c r="D37" s="244">
        <v>53359</v>
      </c>
      <c r="E37" s="413" t="s">
        <v>493</v>
      </c>
      <c r="F37" s="217">
        <f>'4.sz. melléklet'!P33</f>
        <v>1656216</v>
      </c>
      <c r="G37" s="217">
        <f>'4.sz. melléklet'!Q33</f>
        <v>1606891</v>
      </c>
      <c r="H37" s="217">
        <f>'4.sz. melléklet'!R33</f>
        <v>1581155</v>
      </c>
    </row>
    <row r="38" spans="1:8" s="40" customFormat="1" ht="15">
      <c r="A38" s="328" t="s">
        <v>1021</v>
      </c>
      <c r="B38" s="263"/>
      <c r="C38" s="115">
        <f>'3. sz. melléklet'!O58</f>
        <v>40110</v>
      </c>
      <c r="D38" s="115">
        <f>'3. sz. melléklet'!P58</f>
        <v>40109</v>
      </c>
      <c r="E38" s="413"/>
      <c r="F38" s="217"/>
      <c r="G38" s="217"/>
      <c r="H38" s="217"/>
    </row>
    <row r="39" spans="1:8" s="40" customFormat="1" ht="15">
      <c r="A39" s="295" t="s">
        <v>742</v>
      </c>
      <c r="B39" s="262"/>
      <c r="C39" s="115">
        <f>'3. sz. melléklet'!O59</f>
        <v>696366</v>
      </c>
      <c r="D39" s="115">
        <f>'3. sz. melléklet'!P59</f>
        <v>696366</v>
      </c>
      <c r="E39" s="413" t="s">
        <v>737</v>
      </c>
      <c r="F39" s="217"/>
      <c r="G39" s="217">
        <f>'4.sz. melléklet'!Q31</f>
        <v>696366</v>
      </c>
      <c r="H39" s="217">
        <f>'4.sz. melléklet'!R31</f>
        <v>696366</v>
      </c>
    </row>
    <row r="40" spans="1:8" s="40" customFormat="1" ht="15">
      <c r="A40" s="539" t="s">
        <v>721</v>
      </c>
      <c r="B40" s="222"/>
      <c r="C40" s="115">
        <f>'3. sz. melléklet'!O62</f>
        <v>1500000</v>
      </c>
      <c r="D40" s="115">
        <f>'3. sz. melléklet'!P62</f>
        <v>1500000</v>
      </c>
      <c r="E40" s="413"/>
      <c r="F40" s="217"/>
      <c r="G40" s="117"/>
      <c r="H40" s="117"/>
    </row>
    <row r="41" spans="1:8" s="40" customFormat="1" ht="16.5" thickBot="1">
      <c r="A41" s="235" t="s">
        <v>269</v>
      </c>
      <c r="B41" s="245">
        <f>'3. sz. melléklet'!N61</f>
        <v>1656216</v>
      </c>
      <c r="C41" s="245">
        <f>'3. sz. melléklet'!O61</f>
        <v>1606891</v>
      </c>
      <c r="D41" s="245">
        <f>'3. sz. melléklet'!P61</f>
        <v>1581155</v>
      </c>
      <c r="E41" s="414"/>
      <c r="F41" s="217"/>
      <c r="G41" s="117"/>
      <c r="H41" s="117"/>
    </row>
    <row r="42" spans="1:8" s="40" customFormat="1" ht="15" thickBot="1">
      <c r="A42" s="236" t="s">
        <v>270</v>
      </c>
      <c r="B42" s="246">
        <f>SUM(B36:B41)</f>
        <v>1656216</v>
      </c>
      <c r="C42" s="246">
        <f>SUM(C37:C41)</f>
        <v>3896726</v>
      </c>
      <c r="D42" s="246">
        <f>SUM(D37:D41)</f>
        <v>3870989</v>
      </c>
      <c r="E42" s="404" t="s">
        <v>271</v>
      </c>
      <c r="F42" s="217">
        <f>SUM(F36:F41)</f>
        <v>1656216</v>
      </c>
      <c r="G42" s="217">
        <f>SUM(G36:G41)</f>
        <v>3803257</v>
      </c>
      <c r="H42" s="217">
        <f>SUM(H36:H41)</f>
        <v>3777521</v>
      </c>
    </row>
    <row r="43" spans="1:8" s="40" customFormat="1" ht="15" thickBot="1">
      <c r="A43" s="237" t="s">
        <v>272</v>
      </c>
      <c r="B43" s="247">
        <f>SUM(B35+B42)</f>
        <v>6023362</v>
      </c>
      <c r="C43" s="247">
        <f>SUM(C35+C42)</f>
        <v>8412763</v>
      </c>
      <c r="D43" s="247">
        <f>SUM(D35+D42)</f>
        <v>8353354</v>
      </c>
      <c r="E43" s="415" t="s">
        <v>272</v>
      </c>
      <c r="F43" s="221">
        <f>F35+F42</f>
        <v>6023362</v>
      </c>
      <c r="G43" s="221">
        <f>G35+G42</f>
        <v>8412763</v>
      </c>
      <c r="H43" s="221">
        <f>H35+H42</f>
        <v>8096422</v>
      </c>
    </row>
    <row r="44" spans="1:6" s="40" customFormat="1" ht="15">
      <c r="A44" s="65"/>
      <c r="B44" s="41"/>
      <c r="C44" s="41"/>
      <c r="D44" s="41"/>
      <c r="E44" s="65"/>
      <c r="F44" s="42"/>
    </row>
    <row r="45" spans="1:6" s="40" customFormat="1" ht="15">
      <c r="A45" s="65"/>
      <c r="B45" s="41"/>
      <c r="C45" s="41"/>
      <c r="D45" s="41"/>
      <c r="E45" s="65"/>
      <c r="F45" s="42"/>
    </row>
    <row r="46" spans="1:8" s="37" customFormat="1" ht="15" customHeight="1">
      <c r="A46" s="1158" t="s">
        <v>228</v>
      </c>
      <c r="B46" s="1158"/>
      <c r="C46" s="1158"/>
      <c r="D46" s="1158"/>
      <c r="E46" s="1158"/>
      <c r="F46" s="1158"/>
      <c r="G46" s="1158"/>
      <c r="H46" s="1158"/>
    </row>
    <row r="47" ht="14.25" customHeight="1" thickBot="1">
      <c r="E47" s="66"/>
    </row>
    <row r="48" spans="1:8" s="37" customFormat="1" ht="15" thickBot="1">
      <c r="A48" s="1159" t="s">
        <v>259</v>
      </c>
      <c r="B48" s="1160"/>
      <c r="C48" s="1160"/>
      <c r="D48" s="1161"/>
      <c r="E48" s="1159" t="s">
        <v>260</v>
      </c>
      <c r="F48" s="1160"/>
      <c r="G48" s="1160"/>
      <c r="H48" s="1161"/>
    </row>
    <row r="49" spans="1:8" s="37" customFormat="1" ht="16.5" customHeight="1" thickBot="1">
      <c r="A49" s="214" t="s">
        <v>621</v>
      </c>
      <c r="B49" s="256" t="s">
        <v>4</v>
      </c>
      <c r="C49" s="119" t="s">
        <v>976</v>
      </c>
      <c r="D49" s="119" t="s">
        <v>1032</v>
      </c>
      <c r="E49" s="214" t="s">
        <v>621</v>
      </c>
      <c r="F49" s="329" t="s">
        <v>622</v>
      </c>
      <c r="G49" s="119" t="s">
        <v>976</v>
      </c>
      <c r="H49" s="119" t="s">
        <v>1032</v>
      </c>
    </row>
    <row r="50" spans="1:8" s="37" customFormat="1" ht="14.25">
      <c r="A50" s="248" t="s">
        <v>592</v>
      </c>
      <c r="B50" s="257">
        <f>SUM(B51:B52)</f>
        <v>1606819</v>
      </c>
      <c r="C50" s="314">
        <f>SUM(C51:C52)</f>
        <v>1075254</v>
      </c>
      <c r="D50" s="314">
        <f>SUM(D51:D52)</f>
        <v>1045182</v>
      </c>
      <c r="E50" s="318" t="s">
        <v>273</v>
      </c>
      <c r="F50" s="314">
        <f>'4.sz. melléklet'!P18</f>
        <v>2245365</v>
      </c>
      <c r="G50" s="311">
        <f>'4.sz. melléklet'!Q18</f>
        <v>1782402</v>
      </c>
      <c r="H50" s="517">
        <f>'4.sz. melléklet'!R18</f>
        <v>1722088</v>
      </c>
    </row>
    <row r="51" spans="1:8" s="37" customFormat="1" ht="15">
      <c r="A51" s="216" t="s">
        <v>566</v>
      </c>
      <c r="B51" s="114">
        <f>'3. sz. melléklet'!N15</f>
        <v>2290</v>
      </c>
      <c r="C51" s="401">
        <f>'3. sz. melléklet'!O15</f>
        <v>380</v>
      </c>
      <c r="D51" s="401">
        <f>'3. sz. melléklet'!P15</f>
        <v>380</v>
      </c>
      <c r="E51" s="319"/>
      <c r="F51" s="260"/>
      <c r="G51" s="417"/>
      <c r="H51" s="116"/>
    </row>
    <row r="52" spans="1:8" s="37" customFormat="1" ht="15">
      <c r="A52" s="249" t="s">
        <v>591</v>
      </c>
      <c r="B52" s="115">
        <f>'3. sz. melléklet'!N16</f>
        <v>1604529</v>
      </c>
      <c r="C52" s="262">
        <f>'3. sz. melléklet'!O16</f>
        <v>1074874</v>
      </c>
      <c r="D52" s="262">
        <f>'3. sz. melléklet'!P16</f>
        <v>1044802</v>
      </c>
      <c r="E52" s="320" t="s">
        <v>274</v>
      </c>
      <c r="F52" s="315">
        <f>'4.sz. melléklet'!P19</f>
        <v>253927</v>
      </c>
      <c r="G52" s="315">
        <f>'4.sz. melléklet'!Q19</f>
        <v>186027</v>
      </c>
      <c r="H52" s="519">
        <f>'4.sz. melléklet'!R19</f>
        <v>147304</v>
      </c>
    </row>
    <row r="53" spans="1:8" s="37" customFormat="1" ht="15">
      <c r="A53" s="249"/>
      <c r="B53" s="114"/>
      <c r="C53" s="114"/>
      <c r="D53" s="114"/>
      <c r="E53" s="320"/>
      <c r="F53" s="315"/>
      <c r="G53" s="417"/>
      <c r="H53" s="116"/>
    </row>
    <row r="54" spans="1:8" s="37" customFormat="1" ht="15">
      <c r="A54" s="250" t="s">
        <v>711</v>
      </c>
      <c r="B54" s="114"/>
      <c r="C54" s="265">
        <f>SUM(C55:C56)</f>
        <v>9581</v>
      </c>
      <c r="D54" s="265">
        <f>SUM(D55:D56)</f>
        <v>9581</v>
      </c>
      <c r="E54" s="320"/>
      <c r="F54" s="315"/>
      <c r="G54" s="417"/>
      <c r="H54" s="116"/>
    </row>
    <row r="55" spans="1:8" ht="15">
      <c r="A55" s="249" t="s">
        <v>686</v>
      </c>
      <c r="B55" s="114"/>
      <c r="C55" s="262">
        <f>'3. sz. melléklet'!O18</f>
        <v>6674</v>
      </c>
      <c r="D55" s="262">
        <f>'3. sz. melléklet'!P18</f>
        <v>6674</v>
      </c>
      <c r="E55" s="321"/>
      <c r="F55" s="315"/>
      <c r="G55" s="268"/>
      <c r="H55" s="117"/>
    </row>
    <row r="56" spans="1:8" ht="15.75">
      <c r="A56" s="95" t="s">
        <v>739</v>
      </c>
      <c r="B56" s="114"/>
      <c r="C56" s="262">
        <f>'3. sz. melléklet'!O19</f>
        <v>2907</v>
      </c>
      <c r="D56" s="262">
        <f>'3. sz. melléklet'!P19</f>
        <v>2907</v>
      </c>
      <c r="E56" s="321"/>
      <c r="F56" s="315"/>
      <c r="G56" s="268"/>
      <c r="H56" s="117"/>
    </row>
    <row r="57" spans="1:8" ht="14.25">
      <c r="A57" s="251" t="s">
        <v>612</v>
      </c>
      <c r="B57" s="245">
        <f>SUM(B58)</f>
        <v>191090</v>
      </c>
      <c r="C57" s="265">
        <f>SUM(C58:C60)</f>
        <v>241830</v>
      </c>
      <c r="D57" s="265">
        <f>SUM(D58:D60)</f>
        <v>241830</v>
      </c>
      <c r="E57" s="321" t="s">
        <v>275</v>
      </c>
      <c r="F57" s="261">
        <f>SUM(F58:F61)</f>
        <v>440707</v>
      </c>
      <c r="G57" s="261">
        <f>SUM(G58:G61)</f>
        <v>250946</v>
      </c>
      <c r="H57" s="240">
        <f>SUM(H58:H61)</f>
        <v>211653</v>
      </c>
    </row>
    <row r="58" spans="1:8" ht="15">
      <c r="A58" s="216" t="s">
        <v>136</v>
      </c>
      <c r="B58" s="115">
        <f>'3. sz. melléklet'!N44</f>
        <v>191090</v>
      </c>
      <c r="C58" s="262">
        <f>'3. sz. melléklet'!O44</f>
        <v>241570</v>
      </c>
      <c r="D58" s="262">
        <f>'3. sz. melléklet'!P44</f>
        <v>241570</v>
      </c>
      <c r="E58" s="322" t="s">
        <v>582</v>
      </c>
      <c r="F58" s="262">
        <f>'4.sz. melléklet'!P22</f>
        <v>193590</v>
      </c>
      <c r="G58" s="262">
        <f>'4.sz. melléklet'!Q22</f>
        <v>220960</v>
      </c>
      <c r="H58" s="115">
        <f>'4.sz. melléklet'!R22</f>
        <v>182067</v>
      </c>
    </row>
    <row r="59" spans="1:8" ht="15">
      <c r="A59" s="216" t="s">
        <v>740</v>
      </c>
      <c r="B59" s="115"/>
      <c r="C59" s="262">
        <f>'3. sz. melléklet'!O45</f>
        <v>10</v>
      </c>
      <c r="D59" s="262">
        <f>'3. sz. melléklet'!P45</f>
        <v>10</v>
      </c>
      <c r="E59" s="322" t="s">
        <v>566</v>
      </c>
      <c r="F59" s="262"/>
      <c r="G59" s="262">
        <f>'4.sz. melléklet'!Q21</f>
        <v>29986</v>
      </c>
      <c r="H59" s="115">
        <f>'4.sz. melléklet'!R21</f>
        <v>29586</v>
      </c>
    </row>
    <row r="60" spans="1:8" ht="15">
      <c r="A60" s="296" t="s">
        <v>741</v>
      </c>
      <c r="B60" s="115"/>
      <c r="C60" s="262">
        <f>'3. sz. melléklet'!O46</f>
        <v>250</v>
      </c>
      <c r="D60" s="262">
        <f>'3. sz. melléklet'!P46</f>
        <v>250</v>
      </c>
      <c r="E60" s="322"/>
      <c r="F60" s="262"/>
      <c r="G60" s="268"/>
      <c r="H60" s="117"/>
    </row>
    <row r="61" spans="1:8" ht="32.25" customHeight="1">
      <c r="A61" s="251" t="s">
        <v>614</v>
      </c>
      <c r="B61" s="240">
        <f>SUM(B62)</f>
        <v>28075</v>
      </c>
      <c r="C61" s="261">
        <f>SUM(C62:C64)</f>
        <v>36253</v>
      </c>
      <c r="D61" s="261">
        <f>SUM(D62:D64)</f>
        <v>35865</v>
      </c>
      <c r="E61" s="322" t="s">
        <v>245</v>
      </c>
      <c r="F61" s="262">
        <f>SUM(F62:F63)</f>
        <v>247117</v>
      </c>
      <c r="G61" s="262">
        <f>SUM(G62:G63)</f>
        <v>0</v>
      </c>
      <c r="H61" s="115">
        <f>SUM(H62:H63)</f>
        <v>0</v>
      </c>
    </row>
    <row r="62" spans="1:8" ht="30">
      <c r="A62" s="216" t="s">
        <v>565</v>
      </c>
      <c r="B62" s="115">
        <f>'3. sz. melléklet'!N51</f>
        <v>28075</v>
      </c>
      <c r="C62" s="312">
        <f>'3. sz. melléklet'!O51</f>
        <v>1000</v>
      </c>
      <c r="D62" s="312">
        <f>'3. sz. melléklet'!P51</f>
        <v>1000</v>
      </c>
      <c r="E62" s="323" t="s">
        <v>772</v>
      </c>
      <c r="F62" s="316">
        <f>'4.sz. melléklet'!P24</f>
        <v>77075</v>
      </c>
      <c r="G62" s="316">
        <f>'4.sz. melléklet'!Q24</f>
        <v>0</v>
      </c>
      <c r="H62" s="520">
        <f>'4.sz. melléklet'!R24</f>
        <v>0</v>
      </c>
    </row>
    <row r="63" spans="1:8" ht="15">
      <c r="A63" s="216" t="s">
        <v>566</v>
      </c>
      <c r="B63" s="114"/>
      <c r="C63" s="312">
        <f>'3. sz. melléklet'!O52</f>
        <v>27794</v>
      </c>
      <c r="D63" s="312">
        <f>'3. sz. melléklet'!P52</f>
        <v>28008</v>
      </c>
      <c r="E63" s="324" t="s">
        <v>583</v>
      </c>
      <c r="F63" s="316">
        <f>'4.sz. melléklet'!P25</f>
        <v>170042</v>
      </c>
      <c r="G63" s="316">
        <f>'4.sz. melléklet'!Q25</f>
        <v>0</v>
      </c>
      <c r="H63" s="520">
        <f>'4.sz. melléklet'!R25</f>
        <v>0</v>
      </c>
    </row>
    <row r="64" spans="1:8" ht="15">
      <c r="A64" s="216" t="s">
        <v>591</v>
      </c>
      <c r="B64" s="114"/>
      <c r="C64" s="312">
        <f>'3. sz. melléklet'!O53</f>
        <v>7459</v>
      </c>
      <c r="D64" s="312">
        <f>'3. sz. melléklet'!P53</f>
        <v>6857</v>
      </c>
      <c r="E64" s="325"/>
      <c r="F64" s="316"/>
      <c r="G64" s="268"/>
      <c r="H64" s="117"/>
    </row>
    <row r="65" spans="1:8" ht="15.75">
      <c r="A65" s="216"/>
      <c r="B65" s="114"/>
      <c r="C65" s="242"/>
      <c r="D65" s="242"/>
      <c r="E65" s="326"/>
      <c r="F65" s="316"/>
      <c r="G65" s="268"/>
      <c r="H65" s="117"/>
    </row>
    <row r="66" spans="1:8" ht="15">
      <c r="A66" s="215" t="s">
        <v>276</v>
      </c>
      <c r="B66" s="245">
        <f>SUM(B67:B68)</f>
        <v>304753</v>
      </c>
      <c r="C66" s="265">
        <f>SUM(C67:C68)</f>
        <v>232363</v>
      </c>
      <c r="D66" s="265">
        <f>SUM(D67:D68)</f>
        <v>124492</v>
      </c>
      <c r="E66" s="324"/>
      <c r="F66" s="316"/>
      <c r="G66" s="268"/>
      <c r="H66" s="117"/>
    </row>
    <row r="67" spans="1:8" ht="15">
      <c r="A67" s="216" t="s">
        <v>575</v>
      </c>
      <c r="B67" s="114">
        <v>174449</v>
      </c>
      <c r="C67" s="402">
        <v>232363</v>
      </c>
      <c r="D67" s="402">
        <v>124492</v>
      </c>
      <c r="E67" s="324"/>
      <c r="F67" s="316"/>
      <c r="G67" s="268"/>
      <c r="H67" s="117"/>
    </row>
    <row r="68" spans="1:8" ht="15.75" thickBot="1">
      <c r="A68" s="252" t="s">
        <v>303</v>
      </c>
      <c r="B68" s="115">
        <f>'3. sz. melléklet'!B42</f>
        <v>130304</v>
      </c>
      <c r="C68" s="312">
        <v>0</v>
      </c>
      <c r="D68" s="312">
        <v>0</v>
      </c>
      <c r="E68" s="327"/>
      <c r="F68" s="316"/>
      <c r="G68" s="418"/>
      <c r="H68" s="118"/>
    </row>
    <row r="69" spans="1:8" ht="15" thickBot="1">
      <c r="A69" s="253" t="s">
        <v>266</v>
      </c>
      <c r="B69" s="246">
        <f>SUM(B50+B57+B61+B66)</f>
        <v>2130737</v>
      </c>
      <c r="C69" s="246">
        <f>SUM(C50+C57+C61+C66+C54)</f>
        <v>1595281</v>
      </c>
      <c r="D69" s="246">
        <f>SUM(D50+D57+D61+D66+D54)</f>
        <v>1456950</v>
      </c>
      <c r="E69" s="254" t="s">
        <v>267</v>
      </c>
      <c r="F69" s="536">
        <f>SUM(F50+F52+F57)</f>
        <v>2939999</v>
      </c>
      <c r="G69" s="536">
        <f>SUM(G50+G52+G57)</f>
        <v>2219375</v>
      </c>
      <c r="H69" s="537">
        <f>SUM(H50+H52+H57)</f>
        <v>2081045</v>
      </c>
    </row>
    <row r="70" spans="1:8" ht="15" thickBot="1">
      <c r="A70" s="253" t="s">
        <v>268</v>
      </c>
      <c r="B70" s="246">
        <f>B69-F69</f>
        <v>-809262</v>
      </c>
      <c r="C70" s="246"/>
      <c r="D70" s="246"/>
      <c r="E70" s="254"/>
      <c r="F70" s="264"/>
      <c r="G70" s="313"/>
      <c r="H70" s="538"/>
    </row>
    <row r="71" spans="1:8" ht="14.25">
      <c r="A71" s="248" t="s">
        <v>570</v>
      </c>
      <c r="B71" s="257">
        <f>SUM(B72)</f>
        <v>100000</v>
      </c>
      <c r="C71" s="314">
        <f>SUM(C72)</f>
        <v>100006</v>
      </c>
      <c r="D71" s="314">
        <f>SUM(D72)</f>
        <v>100006</v>
      </c>
      <c r="E71" s="318" t="s">
        <v>716</v>
      </c>
      <c r="F71" s="260"/>
      <c r="G71" s="419">
        <f>SUM(G72:G74)</f>
        <v>257081</v>
      </c>
      <c r="H71" s="521">
        <f>SUM(H72:H74)</f>
        <v>257080</v>
      </c>
    </row>
    <row r="72" spans="1:8" ht="15">
      <c r="A72" s="216" t="s">
        <v>258</v>
      </c>
      <c r="B72" s="115">
        <f>'3. sz. melléklet'!N60</f>
        <v>100000</v>
      </c>
      <c r="C72" s="115">
        <v>100006</v>
      </c>
      <c r="D72" s="115">
        <v>100006</v>
      </c>
      <c r="E72" s="320" t="s">
        <v>717</v>
      </c>
      <c r="F72" s="315"/>
      <c r="G72" s="420">
        <f>'4.sz. melléklet'!Q28</f>
        <v>35131</v>
      </c>
      <c r="H72" s="522">
        <f>'4.sz. melléklet'!R28</f>
        <v>35131</v>
      </c>
    </row>
    <row r="73" spans="1:8" ht="14.25">
      <c r="A73" s="215" t="s">
        <v>571</v>
      </c>
      <c r="B73" s="240">
        <f>SUM(B74:B74)</f>
        <v>709262</v>
      </c>
      <c r="C73" s="261">
        <f>SUM(C74:C75)</f>
        <v>781169</v>
      </c>
      <c r="D73" s="261">
        <f>SUM(D74:D75)</f>
        <v>781169</v>
      </c>
      <c r="E73" s="320" t="s">
        <v>718</v>
      </c>
      <c r="F73" s="315"/>
      <c r="G73" s="420">
        <f>'4.sz. melléklet'!Q29</f>
        <v>55556</v>
      </c>
      <c r="H73" s="522">
        <f>'4.sz. melléklet'!R29</f>
        <v>55555</v>
      </c>
    </row>
    <row r="74" spans="1:8" ht="15.75">
      <c r="A74" s="216" t="s">
        <v>651</v>
      </c>
      <c r="B74" s="115">
        <f>'3. sz. melléklet'!N56</f>
        <v>709262</v>
      </c>
      <c r="C74" s="262">
        <f>'3. sz. melléklet'!O56</f>
        <v>614775</v>
      </c>
      <c r="D74" s="262">
        <f>'3. sz. melléklet'!P56</f>
        <v>614775</v>
      </c>
      <c r="E74" s="36" t="s">
        <v>771</v>
      </c>
      <c r="F74" s="315"/>
      <c r="G74" s="420">
        <f>'4.sz. melléklet'!Q30</f>
        <v>166394</v>
      </c>
      <c r="H74" s="522">
        <f>'4.sz. melléklet'!R30</f>
        <v>166394</v>
      </c>
    </row>
    <row r="75" spans="1:8" ht="15.75" thickBot="1">
      <c r="A75" s="298" t="s">
        <v>771</v>
      </c>
      <c r="B75" s="297"/>
      <c r="C75" s="262">
        <f>'3. sz. melléklet'!O57</f>
        <v>166394</v>
      </c>
      <c r="D75" s="262">
        <f>'3. sz. melléklet'!P57</f>
        <v>166394</v>
      </c>
      <c r="E75" s="328"/>
      <c r="F75" s="263"/>
      <c r="G75" s="418"/>
      <c r="H75" s="421"/>
    </row>
    <row r="76" spans="1:8" ht="15.75" customHeight="1" thickBot="1">
      <c r="A76" s="254" t="s">
        <v>270</v>
      </c>
      <c r="B76" s="246">
        <f>SUM(B73,B71)</f>
        <v>809262</v>
      </c>
      <c r="C76" s="246">
        <f>SUM(C73,C71)</f>
        <v>881175</v>
      </c>
      <c r="D76" s="246">
        <f>SUM(D73,D71)</f>
        <v>881175</v>
      </c>
      <c r="E76" s="254" t="s">
        <v>271</v>
      </c>
      <c r="F76" s="266">
        <f>SUM(F72:F74)</f>
        <v>0</v>
      </c>
      <c r="G76" s="266">
        <f>SUM(G72:G74)</f>
        <v>257081</v>
      </c>
      <c r="H76" s="535">
        <f>SUM(H72:H74)</f>
        <v>257080</v>
      </c>
    </row>
    <row r="77" spans="1:8" ht="15" thickBot="1">
      <c r="A77" s="255" t="s">
        <v>272</v>
      </c>
      <c r="B77" s="258">
        <f>SUM(B69+B76)</f>
        <v>2939999</v>
      </c>
      <c r="C77" s="258">
        <f>SUM(C69+C76)</f>
        <v>2476456</v>
      </c>
      <c r="D77" s="258">
        <f>SUM(D69+D76)</f>
        <v>2338125</v>
      </c>
      <c r="E77" s="255" t="s">
        <v>272</v>
      </c>
      <c r="F77" s="317">
        <f>SUM(F69+F76)</f>
        <v>2939999</v>
      </c>
      <c r="G77" s="317">
        <f>SUM(G69+G76)</f>
        <v>2476456</v>
      </c>
      <c r="H77" s="258">
        <f>SUM(H69+H76)</f>
        <v>2338125</v>
      </c>
    </row>
    <row r="78" spans="1:6" ht="14.25">
      <c r="A78" s="67"/>
      <c r="B78" s="43"/>
      <c r="C78" s="43"/>
      <c r="D78" s="43"/>
      <c r="E78" s="67"/>
      <c r="F78" s="43"/>
    </row>
    <row r="79" spans="1:8" ht="14.25">
      <c r="A79" s="68" t="s">
        <v>277</v>
      </c>
      <c r="B79" s="44">
        <f>SUM(B43,B77)</f>
        <v>8963361</v>
      </c>
      <c r="C79" s="44">
        <f>SUM(C43,C77)</f>
        <v>10889219</v>
      </c>
      <c r="D79" s="44">
        <f>SUM(D43,D77)</f>
        <v>10691479</v>
      </c>
      <c r="E79" s="68" t="s">
        <v>278</v>
      </c>
      <c r="F79" s="45">
        <f>SUM(F43,F77)</f>
        <v>8963361</v>
      </c>
      <c r="G79" s="45">
        <f>SUM(G43,G77)</f>
        <v>10889219</v>
      </c>
      <c r="H79" s="45">
        <f>SUM(H43,H77)</f>
        <v>10434547</v>
      </c>
    </row>
    <row r="81" spans="1:5" ht="15">
      <c r="A81" s="98"/>
      <c r="B81" s="99"/>
      <c r="C81" s="99"/>
      <c r="D81" s="99"/>
      <c r="E81" s="97"/>
    </row>
  </sheetData>
  <sheetProtection selectLockedCells="1" selectUnlockedCells="1"/>
  <mergeCells count="6">
    <mergeCell ref="A46:H46"/>
    <mergeCell ref="A1:H1"/>
    <mergeCell ref="A3:D3"/>
    <mergeCell ref="E3:H3"/>
    <mergeCell ref="E48:H48"/>
    <mergeCell ref="A48:D48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portrait" paperSize="9" scale="48" r:id="rId1"/>
  <headerFooter alignWithMargins="0">
    <oddHeader>&amp;L2. melléklet a 16/2016.(V.26.)   önkormányzati rendelethez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83"/>
  <sheetViews>
    <sheetView zoomScalePageLayoutView="0" workbookViewId="0" topLeftCell="A1">
      <selection activeCell="P6" sqref="P6"/>
    </sheetView>
  </sheetViews>
  <sheetFormatPr defaultColWidth="9.00390625" defaultRowHeight="12.75"/>
  <cols>
    <col min="1" max="1" width="10.00390625" style="603" customWidth="1"/>
    <col min="2" max="2" width="95.375" style="608" customWidth="1"/>
    <col min="3" max="3" width="9.125" style="603" hidden="1" customWidth="1"/>
    <col min="4" max="4" width="9.125" style="609" hidden="1" customWidth="1"/>
    <col min="5" max="5" width="9.125" style="610" hidden="1" customWidth="1"/>
    <col min="6" max="6" width="9.125" style="611" hidden="1" customWidth="1"/>
    <col min="7" max="7" width="16.375" style="603" hidden="1" customWidth="1"/>
    <col min="8" max="8" width="7.625" style="609" hidden="1" customWidth="1"/>
    <col min="9" max="9" width="18.875" style="610" hidden="1" customWidth="1"/>
    <col min="10" max="10" width="16.125" style="611" hidden="1" customWidth="1"/>
    <col min="11" max="11" width="13.625" style="603" customWidth="1"/>
    <col min="12" max="12" width="13.00390625" style="603" hidden="1" customWidth="1"/>
    <col min="13" max="13" width="12.00390625" style="603" hidden="1" customWidth="1"/>
    <col min="14" max="14" width="13.375" style="603" hidden="1" customWidth="1"/>
    <col min="15" max="16" width="13.125" style="603" customWidth="1"/>
    <col min="17" max="16384" width="9.125" style="603" customWidth="1"/>
  </cols>
  <sheetData>
    <row r="1" spans="1:252" ht="15.75">
      <c r="A1" s="1326" t="s">
        <v>814</v>
      </c>
      <c r="B1" s="1326"/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6"/>
      <c r="N1" s="1326"/>
      <c r="O1" s="1326"/>
      <c r="P1" s="1326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  <c r="BR1" s="482"/>
      <c r="BS1" s="482"/>
      <c r="BT1" s="482"/>
      <c r="BU1" s="482"/>
      <c r="BV1" s="482"/>
      <c r="BW1" s="482"/>
      <c r="BX1" s="482"/>
      <c r="BY1" s="482"/>
      <c r="BZ1" s="482"/>
      <c r="CA1" s="482"/>
      <c r="CB1" s="482"/>
      <c r="CC1" s="482"/>
      <c r="CD1" s="482"/>
      <c r="CE1" s="482"/>
      <c r="CF1" s="482"/>
      <c r="CG1" s="482"/>
      <c r="CH1" s="482"/>
      <c r="CI1" s="482"/>
      <c r="CJ1" s="482"/>
      <c r="CK1" s="482"/>
      <c r="CL1" s="482"/>
      <c r="CM1" s="482"/>
      <c r="CN1" s="482"/>
      <c r="CO1" s="482"/>
      <c r="CP1" s="482"/>
      <c r="CQ1" s="482"/>
      <c r="CR1" s="482"/>
      <c r="CS1" s="482"/>
      <c r="CT1" s="482"/>
      <c r="CU1" s="482"/>
      <c r="CV1" s="482"/>
      <c r="CW1" s="482"/>
      <c r="CX1" s="482"/>
      <c r="CY1" s="482"/>
      <c r="CZ1" s="482"/>
      <c r="DA1" s="482"/>
      <c r="DB1" s="482"/>
      <c r="DC1" s="482"/>
      <c r="DD1" s="482"/>
      <c r="DE1" s="482"/>
      <c r="DF1" s="482"/>
      <c r="DG1" s="482"/>
      <c r="DH1" s="482"/>
      <c r="DI1" s="482"/>
      <c r="DJ1" s="482"/>
      <c r="DK1" s="482"/>
      <c r="DL1" s="482"/>
      <c r="DM1" s="482"/>
      <c r="DN1" s="482"/>
      <c r="DO1" s="482"/>
      <c r="DP1" s="482"/>
      <c r="DQ1" s="482"/>
      <c r="DR1" s="482"/>
      <c r="DS1" s="482"/>
      <c r="DT1" s="482"/>
      <c r="DU1" s="482"/>
      <c r="DV1" s="482"/>
      <c r="DW1" s="482"/>
      <c r="DX1" s="482"/>
      <c r="DY1" s="482"/>
      <c r="DZ1" s="482"/>
      <c r="EA1" s="482"/>
      <c r="EB1" s="482"/>
      <c r="EC1" s="482"/>
      <c r="ED1" s="482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82"/>
      <c r="EV1" s="482"/>
      <c r="EW1" s="482"/>
      <c r="EX1" s="482"/>
      <c r="EY1" s="482"/>
      <c r="EZ1" s="482"/>
      <c r="FA1" s="482"/>
      <c r="FB1" s="482"/>
      <c r="FC1" s="482"/>
      <c r="FD1" s="482"/>
      <c r="FE1" s="482"/>
      <c r="FF1" s="482"/>
      <c r="FG1" s="482"/>
      <c r="FH1" s="482"/>
      <c r="FI1" s="482"/>
      <c r="FJ1" s="482"/>
      <c r="FK1" s="482"/>
      <c r="FL1" s="482"/>
      <c r="FM1" s="482"/>
      <c r="FN1" s="482"/>
      <c r="FO1" s="482"/>
      <c r="FP1" s="482"/>
      <c r="FQ1" s="482"/>
      <c r="FR1" s="482"/>
      <c r="FS1" s="482"/>
      <c r="FT1" s="482"/>
      <c r="FU1" s="482"/>
      <c r="FV1" s="482"/>
      <c r="FW1" s="482"/>
      <c r="FX1" s="482"/>
      <c r="FY1" s="482"/>
      <c r="FZ1" s="482"/>
      <c r="GA1" s="482"/>
      <c r="GB1" s="482"/>
      <c r="GC1" s="482"/>
      <c r="GD1" s="482"/>
      <c r="GE1" s="482"/>
      <c r="GF1" s="482"/>
      <c r="GG1" s="482"/>
      <c r="GH1" s="482"/>
      <c r="GI1" s="482"/>
      <c r="GJ1" s="482"/>
      <c r="GK1" s="482"/>
      <c r="GL1" s="482"/>
      <c r="GM1" s="482"/>
      <c r="GN1" s="482"/>
      <c r="GO1" s="482"/>
      <c r="GP1" s="482"/>
      <c r="GQ1" s="482"/>
      <c r="GR1" s="482"/>
      <c r="GS1" s="482"/>
      <c r="GT1" s="482"/>
      <c r="GU1" s="482"/>
      <c r="GV1" s="482"/>
      <c r="GW1" s="482"/>
      <c r="GX1" s="482"/>
      <c r="GY1" s="482"/>
      <c r="GZ1" s="482"/>
      <c r="HA1" s="482"/>
      <c r="HB1" s="482"/>
      <c r="HC1" s="482"/>
      <c r="HD1" s="482"/>
      <c r="HE1" s="482"/>
      <c r="HF1" s="482"/>
      <c r="HG1" s="482"/>
      <c r="HH1" s="482"/>
      <c r="HI1" s="482"/>
      <c r="HJ1" s="482"/>
      <c r="HK1" s="482"/>
      <c r="HL1" s="482"/>
      <c r="HM1" s="482"/>
      <c r="HN1" s="482"/>
      <c r="HO1" s="482"/>
      <c r="HP1" s="482"/>
      <c r="HQ1" s="482"/>
      <c r="HR1" s="482"/>
      <c r="HS1" s="482"/>
      <c r="HT1" s="482"/>
      <c r="HU1" s="482"/>
      <c r="HV1" s="482"/>
      <c r="HW1" s="482"/>
      <c r="HX1" s="482"/>
      <c r="HY1" s="482"/>
      <c r="HZ1" s="482"/>
      <c r="IA1" s="482"/>
      <c r="IB1" s="482"/>
      <c r="IC1" s="482"/>
      <c r="ID1" s="482"/>
      <c r="IE1" s="482"/>
      <c r="IF1" s="482"/>
      <c r="IG1" s="482"/>
      <c r="IH1" s="482"/>
      <c r="II1" s="482"/>
      <c r="IJ1" s="482"/>
      <c r="IK1" s="482"/>
      <c r="IL1" s="482"/>
      <c r="IM1" s="482"/>
      <c r="IN1" s="482"/>
      <c r="IO1" s="482"/>
      <c r="IP1" s="482"/>
      <c r="IQ1" s="482"/>
      <c r="IR1" s="482"/>
    </row>
    <row r="2" spans="1:252" ht="15.75">
      <c r="A2" s="1326" t="s">
        <v>815</v>
      </c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  <c r="O2" s="1326"/>
      <c r="P2" s="1326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482"/>
      <c r="CF2" s="482"/>
      <c r="CG2" s="482"/>
      <c r="CH2" s="482"/>
      <c r="CI2" s="482"/>
      <c r="CJ2" s="482"/>
      <c r="CK2" s="482"/>
      <c r="CL2" s="482"/>
      <c r="CM2" s="482"/>
      <c r="CN2" s="482"/>
      <c r="CO2" s="482"/>
      <c r="CP2" s="482"/>
      <c r="CQ2" s="482"/>
      <c r="CR2" s="482"/>
      <c r="CS2" s="482"/>
      <c r="CT2" s="482"/>
      <c r="CU2" s="482"/>
      <c r="CV2" s="482"/>
      <c r="CW2" s="482"/>
      <c r="CX2" s="482"/>
      <c r="CY2" s="482"/>
      <c r="CZ2" s="482"/>
      <c r="DA2" s="482"/>
      <c r="DB2" s="482"/>
      <c r="DC2" s="482"/>
      <c r="DD2" s="482"/>
      <c r="DE2" s="482"/>
      <c r="DF2" s="482"/>
      <c r="DG2" s="482"/>
      <c r="DH2" s="482"/>
      <c r="DI2" s="482"/>
      <c r="DJ2" s="482"/>
      <c r="DK2" s="482"/>
      <c r="DL2" s="482"/>
      <c r="DM2" s="482"/>
      <c r="DN2" s="482"/>
      <c r="DO2" s="482"/>
      <c r="DP2" s="482"/>
      <c r="DQ2" s="482"/>
      <c r="DR2" s="482"/>
      <c r="DS2" s="482"/>
      <c r="DT2" s="482"/>
      <c r="DU2" s="482"/>
      <c r="DV2" s="482"/>
      <c r="DW2" s="482"/>
      <c r="DX2" s="482"/>
      <c r="DY2" s="482"/>
      <c r="DZ2" s="482"/>
      <c r="EA2" s="482"/>
      <c r="EB2" s="482"/>
      <c r="EC2" s="482"/>
      <c r="ED2" s="482"/>
      <c r="EE2" s="482"/>
      <c r="EF2" s="482"/>
      <c r="EG2" s="482"/>
      <c r="EH2" s="482"/>
      <c r="EI2" s="482"/>
      <c r="EJ2" s="482"/>
      <c r="EK2" s="482"/>
      <c r="EL2" s="482"/>
      <c r="EM2" s="482"/>
      <c r="EN2" s="482"/>
      <c r="EO2" s="482"/>
      <c r="EP2" s="482"/>
      <c r="EQ2" s="482"/>
      <c r="ER2" s="482"/>
      <c r="ES2" s="482"/>
      <c r="ET2" s="482"/>
      <c r="EU2" s="482"/>
      <c r="EV2" s="482"/>
      <c r="EW2" s="482"/>
      <c r="EX2" s="482"/>
      <c r="EY2" s="482"/>
      <c r="EZ2" s="482"/>
      <c r="FA2" s="482"/>
      <c r="FB2" s="482"/>
      <c r="FC2" s="482"/>
      <c r="FD2" s="482"/>
      <c r="FE2" s="482"/>
      <c r="FF2" s="482"/>
      <c r="FG2" s="482"/>
      <c r="FH2" s="482"/>
      <c r="FI2" s="482"/>
      <c r="FJ2" s="482"/>
      <c r="FK2" s="482"/>
      <c r="FL2" s="482"/>
      <c r="FM2" s="482"/>
      <c r="FN2" s="482"/>
      <c r="FO2" s="482"/>
      <c r="FP2" s="482"/>
      <c r="FQ2" s="482"/>
      <c r="FR2" s="482"/>
      <c r="FS2" s="482"/>
      <c r="FT2" s="482"/>
      <c r="FU2" s="482"/>
      <c r="FV2" s="482"/>
      <c r="FW2" s="482"/>
      <c r="FX2" s="482"/>
      <c r="FY2" s="482"/>
      <c r="FZ2" s="482"/>
      <c r="GA2" s="482"/>
      <c r="GB2" s="482"/>
      <c r="GC2" s="482"/>
      <c r="GD2" s="482"/>
      <c r="GE2" s="482"/>
      <c r="GF2" s="482"/>
      <c r="GG2" s="482"/>
      <c r="GH2" s="482"/>
      <c r="GI2" s="482"/>
      <c r="GJ2" s="482"/>
      <c r="GK2" s="482"/>
      <c r="GL2" s="482"/>
      <c r="GM2" s="482"/>
      <c r="GN2" s="482"/>
      <c r="GO2" s="482"/>
      <c r="GP2" s="482"/>
      <c r="GQ2" s="482"/>
      <c r="GR2" s="482"/>
      <c r="GS2" s="482"/>
      <c r="GT2" s="482"/>
      <c r="GU2" s="482"/>
      <c r="GV2" s="482"/>
      <c r="GW2" s="482"/>
      <c r="GX2" s="482"/>
      <c r="GY2" s="482"/>
      <c r="GZ2" s="482"/>
      <c r="HA2" s="482"/>
      <c r="HB2" s="482"/>
      <c r="HC2" s="482"/>
      <c r="HD2" s="482"/>
      <c r="HE2" s="482"/>
      <c r="HF2" s="482"/>
      <c r="HG2" s="482"/>
      <c r="HH2" s="482"/>
      <c r="HI2" s="482"/>
      <c r="HJ2" s="482"/>
      <c r="HK2" s="482"/>
      <c r="HL2" s="482"/>
      <c r="HM2" s="482"/>
      <c r="HN2" s="482"/>
      <c r="HO2" s="482"/>
      <c r="HP2" s="482"/>
      <c r="HQ2" s="482"/>
      <c r="HR2" s="482"/>
      <c r="HS2" s="482"/>
      <c r="HT2" s="482"/>
      <c r="HU2" s="482"/>
      <c r="HV2" s="482"/>
      <c r="HW2" s="482"/>
      <c r="HX2" s="482"/>
      <c r="HY2" s="482"/>
      <c r="HZ2" s="482"/>
      <c r="IA2" s="482"/>
      <c r="IB2" s="482"/>
      <c r="IC2" s="482"/>
      <c r="ID2" s="482"/>
      <c r="IE2" s="482"/>
      <c r="IF2" s="482"/>
      <c r="IG2" s="482"/>
      <c r="IH2" s="482"/>
      <c r="II2" s="482"/>
      <c r="IJ2" s="482"/>
      <c r="IK2" s="482"/>
      <c r="IL2" s="482"/>
      <c r="IM2" s="482"/>
      <c r="IN2" s="482"/>
      <c r="IO2" s="482"/>
      <c r="IP2" s="482"/>
      <c r="IQ2" s="482"/>
      <c r="IR2" s="482"/>
    </row>
    <row r="3" spans="1:252" ht="16.5" thickBot="1">
      <c r="A3" s="482"/>
      <c r="B3" s="484"/>
      <c r="C3" s="483"/>
      <c r="D3" s="485"/>
      <c r="E3" s="486"/>
      <c r="F3" s="487"/>
      <c r="G3" s="483"/>
      <c r="H3" s="485"/>
      <c r="I3" s="486"/>
      <c r="J3" s="487"/>
      <c r="K3" s="509"/>
      <c r="L3" s="509"/>
      <c r="M3" s="509"/>
      <c r="N3" s="1327"/>
      <c r="O3" s="1327"/>
      <c r="P3" s="604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2"/>
      <c r="AO3" s="482"/>
      <c r="AP3" s="482"/>
      <c r="AQ3" s="482"/>
      <c r="AR3" s="482"/>
      <c r="AS3" s="482"/>
      <c r="AT3" s="482"/>
      <c r="AU3" s="482"/>
      <c r="AV3" s="482"/>
      <c r="AW3" s="482"/>
      <c r="AX3" s="482"/>
      <c r="AY3" s="482"/>
      <c r="AZ3" s="482"/>
      <c r="BA3" s="482"/>
      <c r="BB3" s="482"/>
      <c r="BC3" s="482"/>
      <c r="BD3" s="482"/>
      <c r="BE3" s="482"/>
      <c r="BF3" s="482"/>
      <c r="BG3" s="482"/>
      <c r="BH3" s="482"/>
      <c r="BI3" s="482"/>
      <c r="BJ3" s="482"/>
      <c r="BK3" s="482"/>
      <c r="BL3" s="482"/>
      <c r="BM3" s="482"/>
      <c r="BN3" s="482"/>
      <c r="BO3" s="482"/>
      <c r="BP3" s="482"/>
      <c r="BQ3" s="482"/>
      <c r="BR3" s="482"/>
      <c r="BS3" s="482"/>
      <c r="BT3" s="482"/>
      <c r="BU3" s="482"/>
      <c r="BV3" s="482"/>
      <c r="BW3" s="482"/>
      <c r="BX3" s="482"/>
      <c r="BY3" s="482"/>
      <c r="BZ3" s="482"/>
      <c r="CA3" s="482"/>
      <c r="CB3" s="482"/>
      <c r="CC3" s="482"/>
      <c r="CD3" s="482"/>
      <c r="CE3" s="482"/>
      <c r="CF3" s="482"/>
      <c r="CG3" s="482"/>
      <c r="CH3" s="482"/>
      <c r="CI3" s="482"/>
      <c r="CJ3" s="482"/>
      <c r="CK3" s="482"/>
      <c r="CL3" s="482"/>
      <c r="CM3" s="482"/>
      <c r="CN3" s="482"/>
      <c r="CO3" s="482"/>
      <c r="CP3" s="482"/>
      <c r="CQ3" s="482"/>
      <c r="CR3" s="482"/>
      <c r="CS3" s="482"/>
      <c r="CT3" s="482"/>
      <c r="CU3" s="482"/>
      <c r="CV3" s="482"/>
      <c r="CW3" s="482"/>
      <c r="CX3" s="482"/>
      <c r="CY3" s="482"/>
      <c r="CZ3" s="482"/>
      <c r="DA3" s="482"/>
      <c r="DB3" s="482"/>
      <c r="DC3" s="482"/>
      <c r="DD3" s="482"/>
      <c r="DE3" s="482"/>
      <c r="DF3" s="482"/>
      <c r="DG3" s="482"/>
      <c r="DH3" s="482"/>
      <c r="DI3" s="482"/>
      <c r="DJ3" s="482"/>
      <c r="DK3" s="482"/>
      <c r="DL3" s="482"/>
      <c r="DM3" s="482"/>
      <c r="DN3" s="482"/>
      <c r="DO3" s="482"/>
      <c r="DP3" s="482"/>
      <c r="DQ3" s="482"/>
      <c r="DR3" s="482"/>
      <c r="DS3" s="482"/>
      <c r="DT3" s="482"/>
      <c r="DU3" s="482"/>
      <c r="DV3" s="482"/>
      <c r="DW3" s="482"/>
      <c r="DX3" s="482"/>
      <c r="DY3" s="482"/>
      <c r="DZ3" s="482"/>
      <c r="EA3" s="482"/>
      <c r="EB3" s="482"/>
      <c r="EC3" s="482"/>
      <c r="ED3" s="482"/>
      <c r="EE3" s="482"/>
      <c r="EF3" s="482"/>
      <c r="EG3" s="482"/>
      <c r="EH3" s="482"/>
      <c r="EI3" s="482"/>
      <c r="EJ3" s="482"/>
      <c r="EK3" s="482"/>
      <c r="EL3" s="482"/>
      <c r="EM3" s="482"/>
      <c r="EN3" s="482"/>
      <c r="EO3" s="482"/>
      <c r="EP3" s="482"/>
      <c r="EQ3" s="482"/>
      <c r="ER3" s="482"/>
      <c r="ES3" s="482"/>
      <c r="ET3" s="482"/>
      <c r="EU3" s="482"/>
      <c r="EV3" s="482"/>
      <c r="EW3" s="482"/>
      <c r="EX3" s="482"/>
      <c r="EY3" s="482"/>
      <c r="EZ3" s="482"/>
      <c r="FA3" s="482"/>
      <c r="FB3" s="482"/>
      <c r="FC3" s="482"/>
      <c r="FD3" s="482"/>
      <c r="FE3" s="482"/>
      <c r="FF3" s="482"/>
      <c r="FG3" s="482"/>
      <c r="FH3" s="482"/>
      <c r="FI3" s="482"/>
      <c r="FJ3" s="482"/>
      <c r="FK3" s="482"/>
      <c r="FL3" s="482"/>
      <c r="FM3" s="482"/>
      <c r="FN3" s="482"/>
      <c r="FO3" s="482"/>
      <c r="FP3" s="482"/>
      <c r="FQ3" s="482"/>
      <c r="FR3" s="482"/>
      <c r="FS3" s="482"/>
      <c r="FT3" s="482"/>
      <c r="FU3" s="482"/>
      <c r="FV3" s="482"/>
      <c r="FW3" s="482"/>
      <c r="FX3" s="482"/>
      <c r="FY3" s="482"/>
      <c r="FZ3" s="482"/>
      <c r="GA3" s="482"/>
      <c r="GB3" s="482"/>
      <c r="GC3" s="482"/>
      <c r="GD3" s="482"/>
      <c r="GE3" s="482"/>
      <c r="GF3" s="482"/>
      <c r="GG3" s="482"/>
      <c r="GH3" s="482"/>
      <c r="GI3" s="482"/>
      <c r="GJ3" s="482"/>
      <c r="GK3" s="482"/>
      <c r="GL3" s="482"/>
      <c r="GM3" s="482"/>
      <c r="GN3" s="482"/>
      <c r="GO3" s="482"/>
      <c r="GP3" s="482"/>
      <c r="GQ3" s="482"/>
      <c r="GR3" s="482"/>
      <c r="GS3" s="482"/>
      <c r="GT3" s="482"/>
      <c r="GU3" s="482"/>
      <c r="GV3" s="482"/>
      <c r="GW3" s="482"/>
      <c r="GX3" s="482"/>
      <c r="GY3" s="482"/>
      <c r="GZ3" s="482"/>
      <c r="HA3" s="482"/>
      <c r="HB3" s="482"/>
      <c r="HC3" s="482"/>
      <c r="HD3" s="482"/>
      <c r="HE3" s="482"/>
      <c r="HF3" s="482"/>
      <c r="HG3" s="482"/>
      <c r="HH3" s="482"/>
      <c r="HI3" s="482"/>
      <c r="HJ3" s="482"/>
      <c r="HK3" s="482"/>
      <c r="HL3" s="482"/>
      <c r="HM3" s="482"/>
      <c r="HN3" s="482"/>
      <c r="HO3" s="482"/>
      <c r="HP3" s="482"/>
      <c r="HQ3" s="482"/>
      <c r="HR3" s="482"/>
      <c r="HS3" s="482"/>
      <c r="HT3" s="482"/>
      <c r="HU3" s="482"/>
      <c r="HV3" s="482"/>
      <c r="HW3" s="482"/>
      <c r="HX3" s="482"/>
      <c r="HY3" s="482"/>
      <c r="HZ3" s="482"/>
      <c r="IA3" s="482"/>
      <c r="IB3" s="482"/>
      <c r="IC3" s="482"/>
      <c r="ID3" s="482"/>
      <c r="IE3" s="482"/>
      <c r="IF3" s="482"/>
      <c r="IG3" s="482"/>
      <c r="IH3" s="482"/>
      <c r="II3" s="482"/>
      <c r="IJ3" s="482"/>
      <c r="IK3" s="482"/>
      <c r="IL3" s="482"/>
      <c r="IM3" s="482"/>
      <c r="IN3" s="482"/>
      <c r="IO3" s="482"/>
      <c r="IP3" s="482"/>
      <c r="IQ3" s="482"/>
      <c r="IR3" s="482"/>
    </row>
    <row r="4" spans="1:252" ht="21" customHeight="1">
      <c r="A4" s="1328" t="s">
        <v>816</v>
      </c>
      <c r="B4" s="1330" t="s">
        <v>817</v>
      </c>
      <c r="C4" s="1332" t="s">
        <v>818</v>
      </c>
      <c r="D4" s="1332"/>
      <c r="E4" s="1332"/>
      <c r="F4" s="1332"/>
      <c r="G4" s="1332" t="s">
        <v>819</v>
      </c>
      <c r="H4" s="1332"/>
      <c r="I4" s="1332"/>
      <c r="J4" s="1332"/>
      <c r="K4" s="1332"/>
      <c r="L4" s="1332"/>
      <c r="M4" s="1332"/>
      <c r="N4" s="1332"/>
      <c r="O4" s="1332"/>
      <c r="P4" s="1333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2"/>
      <c r="AN4" s="482"/>
      <c r="AO4" s="482"/>
      <c r="AP4" s="482"/>
      <c r="AQ4" s="482"/>
      <c r="AR4" s="482"/>
      <c r="AS4" s="482"/>
      <c r="AT4" s="482"/>
      <c r="AU4" s="482"/>
      <c r="AV4" s="482"/>
      <c r="AW4" s="482"/>
      <c r="AX4" s="482"/>
      <c r="AY4" s="482"/>
      <c r="AZ4" s="482"/>
      <c r="BA4" s="482"/>
      <c r="BB4" s="482"/>
      <c r="BC4" s="482"/>
      <c r="BD4" s="482"/>
      <c r="BE4" s="482"/>
      <c r="BF4" s="482"/>
      <c r="BG4" s="482"/>
      <c r="BH4" s="482"/>
      <c r="BI4" s="482"/>
      <c r="BJ4" s="482"/>
      <c r="BK4" s="482"/>
      <c r="BL4" s="482"/>
      <c r="BM4" s="482"/>
      <c r="BN4" s="482"/>
      <c r="BO4" s="482"/>
      <c r="BP4" s="482"/>
      <c r="BQ4" s="482"/>
      <c r="BR4" s="482"/>
      <c r="BS4" s="482"/>
      <c r="BT4" s="482"/>
      <c r="BU4" s="482"/>
      <c r="BV4" s="482"/>
      <c r="BW4" s="482"/>
      <c r="BX4" s="482"/>
      <c r="BY4" s="482"/>
      <c r="BZ4" s="482"/>
      <c r="CA4" s="482"/>
      <c r="CB4" s="482"/>
      <c r="CC4" s="482"/>
      <c r="CD4" s="482"/>
      <c r="CE4" s="482"/>
      <c r="CF4" s="482"/>
      <c r="CG4" s="482"/>
      <c r="CH4" s="482"/>
      <c r="CI4" s="482"/>
      <c r="CJ4" s="482"/>
      <c r="CK4" s="482"/>
      <c r="CL4" s="482"/>
      <c r="CM4" s="482"/>
      <c r="CN4" s="482"/>
      <c r="CO4" s="482"/>
      <c r="CP4" s="482"/>
      <c r="CQ4" s="482"/>
      <c r="CR4" s="482"/>
      <c r="CS4" s="482"/>
      <c r="CT4" s="482"/>
      <c r="CU4" s="482"/>
      <c r="CV4" s="482"/>
      <c r="CW4" s="482"/>
      <c r="CX4" s="482"/>
      <c r="CY4" s="482"/>
      <c r="CZ4" s="482"/>
      <c r="DA4" s="482"/>
      <c r="DB4" s="482"/>
      <c r="DC4" s="482"/>
      <c r="DD4" s="482"/>
      <c r="DE4" s="482"/>
      <c r="DF4" s="482"/>
      <c r="DG4" s="482"/>
      <c r="DH4" s="482"/>
      <c r="DI4" s="482"/>
      <c r="DJ4" s="482"/>
      <c r="DK4" s="482"/>
      <c r="DL4" s="482"/>
      <c r="DM4" s="482"/>
      <c r="DN4" s="482"/>
      <c r="DO4" s="482"/>
      <c r="DP4" s="482"/>
      <c r="DQ4" s="482"/>
      <c r="DR4" s="482"/>
      <c r="DS4" s="482"/>
      <c r="DT4" s="482"/>
      <c r="DU4" s="482"/>
      <c r="DV4" s="482"/>
      <c r="DW4" s="482"/>
      <c r="DX4" s="482"/>
      <c r="DY4" s="482"/>
      <c r="DZ4" s="482"/>
      <c r="EA4" s="482"/>
      <c r="EB4" s="482"/>
      <c r="EC4" s="482"/>
      <c r="ED4" s="482"/>
      <c r="EE4" s="482"/>
      <c r="EF4" s="482"/>
      <c r="EG4" s="482"/>
      <c r="EH4" s="482"/>
      <c r="EI4" s="482"/>
      <c r="EJ4" s="482"/>
      <c r="EK4" s="482"/>
      <c r="EL4" s="482"/>
      <c r="EM4" s="482"/>
      <c r="EN4" s="482"/>
      <c r="EO4" s="482"/>
      <c r="EP4" s="482"/>
      <c r="EQ4" s="482"/>
      <c r="ER4" s="482"/>
      <c r="ES4" s="482"/>
      <c r="ET4" s="482"/>
      <c r="EU4" s="482"/>
      <c r="EV4" s="482"/>
      <c r="EW4" s="482"/>
      <c r="EX4" s="482"/>
      <c r="EY4" s="482"/>
      <c r="EZ4" s="482"/>
      <c r="FA4" s="482"/>
      <c r="FB4" s="482"/>
      <c r="FC4" s="482"/>
      <c r="FD4" s="482"/>
      <c r="FE4" s="482"/>
      <c r="FF4" s="482"/>
      <c r="FG4" s="482"/>
      <c r="FH4" s="482"/>
      <c r="FI4" s="482"/>
      <c r="FJ4" s="482"/>
      <c r="FK4" s="482"/>
      <c r="FL4" s="482"/>
      <c r="FM4" s="482"/>
      <c r="FN4" s="482"/>
      <c r="FO4" s="482"/>
      <c r="FP4" s="482"/>
      <c r="FQ4" s="482"/>
      <c r="FR4" s="482"/>
      <c r="FS4" s="482"/>
      <c r="FT4" s="482"/>
      <c r="FU4" s="482"/>
      <c r="FV4" s="482"/>
      <c r="FW4" s="482"/>
      <c r="FX4" s="482"/>
      <c r="FY4" s="482"/>
      <c r="FZ4" s="482"/>
      <c r="GA4" s="482"/>
      <c r="GB4" s="482"/>
      <c r="GC4" s="482"/>
      <c r="GD4" s="482"/>
      <c r="GE4" s="482"/>
      <c r="GF4" s="482"/>
      <c r="GG4" s="482"/>
      <c r="GH4" s="482"/>
      <c r="GI4" s="482"/>
      <c r="GJ4" s="482"/>
      <c r="GK4" s="482"/>
      <c r="GL4" s="482"/>
      <c r="GM4" s="482"/>
      <c r="GN4" s="482"/>
      <c r="GO4" s="482"/>
      <c r="GP4" s="482"/>
      <c r="GQ4" s="482"/>
      <c r="GR4" s="482"/>
      <c r="GS4" s="482"/>
      <c r="GT4" s="482"/>
      <c r="GU4" s="482"/>
      <c r="GV4" s="482"/>
      <c r="GW4" s="482"/>
      <c r="GX4" s="482"/>
      <c r="GY4" s="482"/>
      <c r="GZ4" s="482"/>
      <c r="HA4" s="482"/>
      <c r="HB4" s="482"/>
      <c r="HC4" s="482"/>
      <c r="HD4" s="482"/>
      <c r="HE4" s="482"/>
      <c r="HF4" s="482"/>
      <c r="HG4" s="482"/>
      <c r="HH4" s="482"/>
      <c r="HI4" s="482"/>
      <c r="HJ4" s="482"/>
      <c r="HK4" s="482"/>
      <c r="HL4" s="482"/>
      <c r="HM4" s="482"/>
      <c r="HN4" s="482"/>
      <c r="HO4" s="482"/>
      <c r="HP4" s="482"/>
      <c r="HQ4" s="482"/>
      <c r="HR4" s="482"/>
      <c r="HS4" s="482"/>
      <c r="HT4" s="482"/>
      <c r="HU4" s="482"/>
      <c r="HV4" s="482"/>
      <c r="HW4" s="482"/>
      <c r="HX4" s="482"/>
      <c r="HY4" s="482"/>
      <c r="HZ4" s="482"/>
      <c r="IA4" s="482"/>
      <c r="IB4" s="482"/>
      <c r="IC4" s="482"/>
      <c r="ID4" s="482"/>
      <c r="IE4" s="482"/>
      <c r="IF4" s="482"/>
      <c r="IG4" s="482"/>
      <c r="IH4" s="482"/>
      <c r="II4" s="482"/>
      <c r="IJ4" s="482"/>
      <c r="IK4" s="482"/>
      <c r="IL4" s="482"/>
      <c r="IM4" s="482"/>
      <c r="IN4" s="482"/>
      <c r="IO4" s="482"/>
      <c r="IP4" s="482"/>
      <c r="IQ4" s="482"/>
      <c r="IR4" s="482"/>
    </row>
    <row r="5" spans="1:252" ht="82.5" customHeight="1">
      <c r="A5" s="1329"/>
      <c r="B5" s="1331"/>
      <c r="C5" s="1334" t="s">
        <v>820</v>
      </c>
      <c r="D5" s="1334"/>
      <c r="E5" s="632" t="s">
        <v>821</v>
      </c>
      <c r="F5" s="632" t="s">
        <v>822</v>
      </c>
      <c r="G5" s="1334" t="s">
        <v>820</v>
      </c>
      <c r="H5" s="1334"/>
      <c r="I5" s="632" t="s">
        <v>821</v>
      </c>
      <c r="J5" s="633" t="s">
        <v>823</v>
      </c>
      <c r="K5" s="633" t="s">
        <v>824</v>
      </c>
      <c r="L5" s="633" t="s">
        <v>825</v>
      </c>
      <c r="M5" s="633" t="s">
        <v>826</v>
      </c>
      <c r="N5" s="633" t="s">
        <v>827</v>
      </c>
      <c r="O5" s="633" t="s">
        <v>1213</v>
      </c>
      <c r="P5" s="634" t="s">
        <v>1143</v>
      </c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2"/>
      <c r="AY5" s="482"/>
      <c r="AZ5" s="482"/>
      <c r="BA5" s="482"/>
      <c r="BB5" s="482"/>
      <c r="BC5" s="482"/>
      <c r="BD5" s="482"/>
      <c r="BE5" s="482"/>
      <c r="BF5" s="482"/>
      <c r="BG5" s="482"/>
      <c r="BH5" s="482"/>
      <c r="BI5" s="482"/>
      <c r="BJ5" s="482"/>
      <c r="BK5" s="482"/>
      <c r="BL5" s="482"/>
      <c r="BM5" s="482"/>
      <c r="BN5" s="482"/>
      <c r="BO5" s="482"/>
      <c r="BP5" s="482"/>
      <c r="BQ5" s="482"/>
      <c r="BR5" s="482"/>
      <c r="BS5" s="482"/>
      <c r="BT5" s="482"/>
      <c r="BU5" s="482"/>
      <c r="BV5" s="482"/>
      <c r="BW5" s="482"/>
      <c r="BX5" s="482"/>
      <c r="BY5" s="482"/>
      <c r="BZ5" s="482"/>
      <c r="CA5" s="482"/>
      <c r="CB5" s="482"/>
      <c r="CC5" s="482"/>
      <c r="CD5" s="482"/>
      <c r="CE5" s="482"/>
      <c r="CF5" s="482"/>
      <c r="CG5" s="482"/>
      <c r="CH5" s="482"/>
      <c r="CI5" s="482"/>
      <c r="CJ5" s="482"/>
      <c r="CK5" s="482"/>
      <c r="CL5" s="482"/>
      <c r="CM5" s="482"/>
      <c r="CN5" s="482"/>
      <c r="CO5" s="482"/>
      <c r="CP5" s="482"/>
      <c r="CQ5" s="482"/>
      <c r="CR5" s="482"/>
      <c r="CS5" s="482"/>
      <c r="CT5" s="482"/>
      <c r="CU5" s="482"/>
      <c r="CV5" s="482"/>
      <c r="CW5" s="482"/>
      <c r="CX5" s="482"/>
      <c r="CY5" s="482"/>
      <c r="CZ5" s="482"/>
      <c r="DA5" s="482"/>
      <c r="DB5" s="482"/>
      <c r="DC5" s="482"/>
      <c r="DD5" s="482"/>
      <c r="DE5" s="482"/>
      <c r="DF5" s="482"/>
      <c r="DG5" s="482"/>
      <c r="DH5" s="482"/>
      <c r="DI5" s="482"/>
      <c r="DJ5" s="482"/>
      <c r="DK5" s="482"/>
      <c r="DL5" s="482"/>
      <c r="DM5" s="482"/>
      <c r="DN5" s="482"/>
      <c r="DO5" s="482"/>
      <c r="DP5" s="482"/>
      <c r="DQ5" s="482"/>
      <c r="DR5" s="482"/>
      <c r="DS5" s="482"/>
      <c r="DT5" s="482"/>
      <c r="DU5" s="482"/>
      <c r="DV5" s="482"/>
      <c r="DW5" s="482"/>
      <c r="DX5" s="482"/>
      <c r="DY5" s="482"/>
      <c r="DZ5" s="482"/>
      <c r="EA5" s="482"/>
      <c r="EB5" s="482"/>
      <c r="EC5" s="482"/>
      <c r="ED5" s="482"/>
      <c r="EE5" s="482"/>
      <c r="EF5" s="482"/>
      <c r="EG5" s="482"/>
      <c r="EH5" s="482"/>
      <c r="EI5" s="482"/>
      <c r="EJ5" s="482"/>
      <c r="EK5" s="482"/>
      <c r="EL5" s="482"/>
      <c r="EM5" s="482"/>
      <c r="EN5" s="482"/>
      <c r="EO5" s="482"/>
      <c r="EP5" s="482"/>
      <c r="EQ5" s="482"/>
      <c r="ER5" s="482"/>
      <c r="ES5" s="482"/>
      <c r="ET5" s="482"/>
      <c r="EU5" s="482"/>
      <c r="EV5" s="482"/>
      <c r="EW5" s="482"/>
      <c r="EX5" s="482"/>
      <c r="EY5" s="482"/>
      <c r="EZ5" s="482"/>
      <c r="FA5" s="482"/>
      <c r="FB5" s="482"/>
      <c r="FC5" s="482"/>
      <c r="FD5" s="482"/>
      <c r="FE5" s="482"/>
      <c r="FF5" s="482"/>
      <c r="FG5" s="482"/>
      <c r="FH5" s="482"/>
      <c r="FI5" s="482"/>
      <c r="FJ5" s="482"/>
      <c r="FK5" s="482"/>
      <c r="FL5" s="482"/>
      <c r="FM5" s="482"/>
      <c r="FN5" s="482"/>
      <c r="FO5" s="482"/>
      <c r="FP5" s="482"/>
      <c r="FQ5" s="482"/>
      <c r="FR5" s="482"/>
      <c r="FS5" s="482"/>
      <c r="FT5" s="482"/>
      <c r="FU5" s="482"/>
      <c r="FV5" s="482"/>
      <c r="FW5" s="482"/>
      <c r="FX5" s="482"/>
      <c r="FY5" s="482"/>
      <c r="FZ5" s="482"/>
      <c r="GA5" s="482"/>
      <c r="GB5" s="482"/>
      <c r="GC5" s="482"/>
      <c r="GD5" s="482"/>
      <c r="GE5" s="482"/>
      <c r="GF5" s="482"/>
      <c r="GG5" s="482"/>
      <c r="GH5" s="482"/>
      <c r="GI5" s="482"/>
      <c r="GJ5" s="482"/>
      <c r="GK5" s="482"/>
      <c r="GL5" s="482"/>
      <c r="GM5" s="482"/>
      <c r="GN5" s="482"/>
      <c r="GO5" s="482"/>
      <c r="GP5" s="482"/>
      <c r="GQ5" s="482"/>
      <c r="GR5" s="482"/>
      <c r="GS5" s="482"/>
      <c r="GT5" s="482"/>
      <c r="GU5" s="482"/>
      <c r="GV5" s="482"/>
      <c r="GW5" s="482"/>
      <c r="GX5" s="482"/>
      <c r="GY5" s="482"/>
      <c r="GZ5" s="482"/>
      <c r="HA5" s="482"/>
      <c r="HB5" s="482"/>
      <c r="HC5" s="482"/>
      <c r="HD5" s="482"/>
      <c r="HE5" s="482"/>
      <c r="HF5" s="482"/>
      <c r="HG5" s="482"/>
      <c r="HH5" s="482"/>
      <c r="HI5" s="482"/>
      <c r="HJ5" s="482"/>
      <c r="HK5" s="482"/>
      <c r="HL5" s="482"/>
      <c r="HM5" s="482"/>
      <c r="HN5" s="482"/>
      <c r="HO5" s="482"/>
      <c r="HP5" s="482"/>
      <c r="HQ5" s="482"/>
      <c r="HR5" s="482"/>
      <c r="HS5" s="482"/>
      <c r="HT5" s="482"/>
      <c r="HU5" s="482"/>
      <c r="HV5" s="482"/>
      <c r="HW5" s="482"/>
      <c r="HX5" s="482"/>
      <c r="HY5" s="482"/>
      <c r="HZ5" s="482"/>
      <c r="IA5" s="482"/>
      <c r="IB5" s="482"/>
      <c r="IC5" s="482"/>
      <c r="ID5" s="482"/>
      <c r="IE5" s="482"/>
      <c r="IF5" s="482"/>
      <c r="IG5" s="482"/>
      <c r="IH5" s="482"/>
      <c r="II5" s="482"/>
      <c r="IJ5" s="482"/>
      <c r="IK5" s="482"/>
      <c r="IL5" s="482"/>
      <c r="IM5" s="482"/>
      <c r="IN5" s="482"/>
      <c r="IO5" s="482"/>
      <c r="IP5" s="482"/>
      <c r="IQ5" s="482"/>
      <c r="IR5" s="482"/>
    </row>
    <row r="6" spans="1:252" ht="20.25" customHeight="1">
      <c r="A6" s="635" t="s">
        <v>828</v>
      </c>
      <c r="B6" s="636" t="s">
        <v>829</v>
      </c>
      <c r="C6" s="632"/>
      <c r="D6" s="632"/>
      <c r="E6" s="632"/>
      <c r="F6" s="632"/>
      <c r="G6" s="632"/>
      <c r="H6" s="632"/>
      <c r="I6" s="632"/>
      <c r="J6" s="632"/>
      <c r="K6" s="637"/>
      <c r="L6" s="638"/>
      <c r="M6" s="638"/>
      <c r="N6" s="638"/>
      <c r="O6" s="638"/>
      <c r="P6" s="639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482"/>
      <c r="AJ6" s="482"/>
      <c r="AK6" s="482"/>
      <c r="AL6" s="482"/>
      <c r="AM6" s="482"/>
      <c r="AN6" s="482"/>
      <c r="AO6" s="482"/>
      <c r="AP6" s="482"/>
      <c r="AQ6" s="482"/>
      <c r="AR6" s="482"/>
      <c r="AS6" s="482"/>
      <c r="AT6" s="482"/>
      <c r="AU6" s="482"/>
      <c r="AV6" s="482"/>
      <c r="AW6" s="482"/>
      <c r="AX6" s="482"/>
      <c r="AY6" s="482"/>
      <c r="AZ6" s="482"/>
      <c r="BA6" s="482"/>
      <c r="BB6" s="482"/>
      <c r="BC6" s="482"/>
      <c r="BD6" s="482"/>
      <c r="BE6" s="482"/>
      <c r="BF6" s="482"/>
      <c r="BG6" s="482"/>
      <c r="BH6" s="482"/>
      <c r="BI6" s="482"/>
      <c r="BJ6" s="482"/>
      <c r="BK6" s="482"/>
      <c r="BL6" s="482"/>
      <c r="BM6" s="482"/>
      <c r="BN6" s="482"/>
      <c r="BO6" s="482"/>
      <c r="BP6" s="482"/>
      <c r="BQ6" s="482"/>
      <c r="BR6" s="482"/>
      <c r="BS6" s="482"/>
      <c r="BT6" s="482"/>
      <c r="BU6" s="482"/>
      <c r="BV6" s="482"/>
      <c r="BW6" s="482"/>
      <c r="BX6" s="482"/>
      <c r="BY6" s="482"/>
      <c r="BZ6" s="482"/>
      <c r="CA6" s="482"/>
      <c r="CB6" s="482"/>
      <c r="CC6" s="482"/>
      <c r="CD6" s="482"/>
      <c r="CE6" s="482"/>
      <c r="CF6" s="482"/>
      <c r="CG6" s="482"/>
      <c r="CH6" s="482"/>
      <c r="CI6" s="482"/>
      <c r="CJ6" s="482"/>
      <c r="CK6" s="482"/>
      <c r="CL6" s="482"/>
      <c r="CM6" s="482"/>
      <c r="CN6" s="482"/>
      <c r="CO6" s="482"/>
      <c r="CP6" s="482"/>
      <c r="CQ6" s="482"/>
      <c r="CR6" s="482"/>
      <c r="CS6" s="482"/>
      <c r="CT6" s="482"/>
      <c r="CU6" s="482"/>
      <c r="CV6" s="482"/>
      <c r="CW6" s="482"/>
      <c r="CX6" s="482"/>
      <c r="CY6" s="482"/>
      <c r="CZ6" s="482"/>
      <c r="DA6" s="482"/>
      <c r="DB6" s="482"/>
      <c r="DC6" s="482"/>
      <c r="DD6" s="482"/>
      <c r="DE6" s="482"/>
      <c r="DF6" s="482"/>
      <c r="DG6" s="482"/>
      <c r="DH6" s="482"/>
      <c r="DI6" s="482"/>
      <c r="DJ6" s="482"/>
      <c r="DK6" s="482"/>
      <c r="DL6" s="482"/>
      <c r="DM6" s="482"/>
      <c r="DN6" s="482"/>
      <c r="DO6" s="482"/>
      <c r="DP6" s="482"/>
      <c r="DQ6" s="482"/>
      <c r="DR6" s="482"/>
      <c r="DS6" s="482"/>
      <c r="DT6" s="482"/>
      <c r="DU6" s="482"/>
      <c r="DV6" s="482"/>
      <c r="DW6" s="482"/>
      <c r="DX6" s="482"/>
      <c r="DY6" s="482"/>
      <c r="DZ6" s="482"/>
      <c r="EA6" s="482"/>
      <c r="EB6" s="482"/>
      <c r="EC6" s="482"/>
      <c r="ED6" s="482"/>
      <c r="EE6" s="482"/>
      <c r="EF6" s="482"/>
      <c r="EG6" s="482"/>
      <c r="EH6" s="482"/>
      <c r="EI6" s="482"/>
      <c r="EJ6" s="482"/>
      <c r="EK6" s="482"/>
      <c r="EL6" s="482"/>
      <c r="EM6" s="482"/>
      <c r="EN6" s="482"/>
      <c r="EO6" s="482"/>
      <c r="EP6" s="482"/>
      <c r="EQ6" s="482"/>
      <c r="ER6" s="482"/>
      <c r="ES6" s="482"/>
      <c r="ET6" s="482"/>
      <c r="EU6" s="482"/>
      <c r="EV6" s="482"/>
      <c r="EW6" s="482"/>
      <c r="EX6" s="482"/>
      <c r="EY6" s="482"/>
      <c r="EZ6" s="482"/>
      <c r="FA6" s="482"/>
      <c r="FB6" s="482"/>
      <c r="FC6" s="482"/>
      <c r="FD6" s="482"/>
      <c r="FE6" s="482"/>
      <c r="FF6" s="482"/>
      <c r="FG6" s="482"/>
      <c r="FH6" s="482"/>
      <c r="FI6" s="482"/>
      <c r="FJ6" s="482"/>
      <c r="FK6" s="482"/>
      <c r="FL6" s="482"/>
      <c r="FM6" s="482"/>
      <c r="FN6" s="482"/>
      <c r="FO6" s="482"/>
      <c r="FP6" s="482"/>
      <c r="FQ6" s="482"/>
      <c r="FR6" s="482"/>
      <c r="FS6" s="482"/>
      <c r="FT6" s="482"/>
      <c r="FU6" s="482"/>
      <c r="FV6" s="482"/>
      <c r="FW6" s="482"/>
      <c r="FX6" s="482"/>
      <c r="FY6" s="482"/>
      <c r="FZ6" s="482"/>
      <c r="GA6" s="482"/>
      <c r="GB6" s="482"/>
      <c r="GC6" s="482"/>
      <c r="GD6" s="482"/>
      <c r="GE6" s="482"/>
      <c r="GF6" s="482"/>
      <c r="GG6" s="482"/>
      <c r="GH6" s="482"/>
      <c r="GI6" s="482"/>
      <c r="GJ6" s="482"/>
      <c r="GK6" s="482"/>
      <c r="GL6" s="482"/>
      <c r="GM6" s="482"/>
      <c r="GN6" s="482"/>
      <c r="GO6" s="482"/>
      <c r="GP6" s="482"/>
      <c r="GQ6" s="482"/>
      <c r="GR6" s="482"/>
      <c r="GS6" s="482"/>
      <c r="GT6" s="482"/>
      <c r="GU6" s="482"/>
      <c r="GV6" s="482"/>
      <c r="GW6" s="482"/>
      <c r="GX6" s="482"/>
      <c r="GY6" s="482"/>
      <c r="GZ6" s="482"/>
      <c r="HA6" s="482"/>
      <c r="HB6" s="482"/>
      <c r="HC6" s="482"/>
      <c r="HD6" s="482"/>
      <c r="HE6" s="482"/>
      <c r="HF6" s="482"/>
      <c r="HG6" s="482"/>
      <c r="HH6" s="482"/>
      <c r="HI6" s="482"/>
      <c r="HJ6" s="482"/>
      <c r="HK6" s="482"/>
      <c r="HL6" s="482"/>
      <c r="HM6" s="482"/>
      <c r="HN6" s="482"/>
      <c r="HO6" s="482"/>
      <c r="HP6" s="482"/>
      <c r="HQ6" s="482"/>
      <c r="HR6" s="482"/>
      <c r="HS6" s="482"/>
      <c r="HT6" s="482"/>
      <c r="HU6" s="482"/>
      <c r="HV6" s="482"/>
      <c r="HW6" s="482"/>
      <c r="HX6" s="482"/>
      <c r="HY6" s="482"/>
      <c r="HZ6" s="482"/>
      <c r="IA6" s="482"/>
      <c r="IB6" s="482"/>
      <c r="IC6" s="482"/>
      <c r="ID6" s="482"/>
      <c r="IE6" s="482"/>
      <c r="IF6" s="482"/>
      <c r="IG6" s="482"/>
      <c r="IH6" s="482"/>
      <c r="II6" s="482"/>
      <c r="IJ6" s="482"/>
      <c r="IK6" s="482"/>
      <c r="IL6" s="482"/>
      <c r="IM6" s="482"/>
      <c r="IN6" s="482"/>
      <c r="IO6" s="482"/>
      <c r="IP6" s="482"/>
      <c r="IQ6" s="482"/>
      <c r="IR6" s="482"/>
    </row>
    <row r="7" spans="1:252" ht="16.5" customHeight="1">
      <c r="A7" s="640" t="s">
        <v>830</v>
      </c>
      <c r="B7" s="641" t="s">
        <v>831</v>
      </c>
      <c r="C7" s="488">
        <v>58.77</v>
      </c>
      <c r="D7" s="489" t="s">
        <v>832</v>
      </c>
      <c r="E7" s="490">
        <v>4580000</v>
      </c>
      <c r="F7" s="642">
        <f>C7*E7</f>
        <v>269166600</v>
      </c>
      <c r="G7" s="488">
        <v>58.59</v>
      </c>
      <c r="H7" s="489" t="s">
        <v>832</v>
      </c>
      <c r="I7" s="490">
        <v>4580000</v>
      </c>
      <c r="J7" s="642">
        <f>G7*I7</f>
        <v>268342200.00000003</v>
      </c>
      <c r="K7" s="642">
        <v>268342</v>
      </c>
      <c r="L7" s="642">
        <v>268342</v>
      </c>
      <c r="M7" s="642">
        <v>268342</v>
      </c>
      <c r="N7" s="642">
        <v>268342</v>
      </c>
      <c r="O7" s="642">
        <v>268342</v>
      </c>
      <c r="P7" s="643">
        <v>268342</v>
      </c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2"/>
      <c r="AQ7" s="482"/>
      <c r="AR7" s="482"/>
      <c r="AS7" s="482"/>
      <c r="AT7" s="482"/>
      <c r="AU7" s="482"/>
      <c r="AV7" s="482"/>
      <c r="AW7" s="482"/>
      <c r="AX7" s="482"/>
      <c r="AY7" s="482"/>
      <c r="AZ7" s="482"/>
      <c r="BA7" s="482"/>
      <c r="BB7" s="482"/>
      <c r="BC7" s="482"/>
      <c r="BD7" s="482"/>
      <c r="BE7" s="482"/>
      <c r="BF7" s="482"/>
      <c r="BG7" s="482"/>
      <c r="BH7" s="482"/>
      <c r="BI7" s="482"/>
      <c r="BJ7" s="482"/>
      <c r="BK7" s="482"/>
      <c r="BL7" s="482"/>
      <c r="BM7" s="482"/>
      <c r="BN7" s="482"/>
      <c r="BO7" s="482"/>
      <c r="BP7" s="482"/>
      <c r="BQ7" s="482"/>
      <c r="BR7" s="482"/>
      <c r="BS7" s="482"/>
      <c r="BT7" s="482"/>
      <c r="BU7" s="482"/>
      <c r="BV7" s="482"/>
      <c r="BW7" s="482"/>
      <c r="BX7" s="482"/>
      <c r="BY7" s="482"/>
      <c r="BZ7" s="482"/>
      <c r="CA7" s="482"/>
      <c r="CB7" s="482"/>
      <c r="CC7" s="482"/>
      <c r="CD7" s="482"/>
      <c r="CE7" s="482"/>
      <c r="CF7" s="482"/>
      <c r="CG7" s="482"/>
      <c r="CH7" s="482"/>
      <c r="CI7" s="482"/>
      <c r="CJ7" s="482"/>
      <c r="CK7" s="482"/>
      <c r="CL7" s="482"/>
      <c r="CM7" s="482"/>
      <c r="CN7" s="482"/>
      <c r="CO7" s="482"/>
      <c r="CP7" s="482"/>
      <c r="CQ7" s="482"/>
      <c r="CR7" s="482"/>
      <c r="CS7" s="482"/>
      <c r="CT7" s="482"/>
      <c r="CU7" s="482"/>
      <c r="CV7" s="482"/>
      <c r="CW7" s="482"/>
      <c r="CX7" s="482"/>
      <c r="CY7" s="482"/>
      <c r="CZ7" s="482"/>
      <c r="DA7" s="482"/>
      <c r="DB7" s="482"/>
      <c r="DC7" s="482"/>
      <c r="DD7" s="482"/>
      <c r="DE7" s="482"/>
      <c r="DF7" s="482"/>
      <c r="DG7" s="482"/>
      <c r="DH7" s="482"/>
      <c r="DI7" s="482"/>
      <c r="DJ7" s="482"/>
      <c r="DK7" s="482"/>
      <c r="DL7" s="482"/>
      <c r="DM7" s="482"/>
      <c r="DN7" s="482"/>
      <c r="DO7" s="482"/>
      <c r="DP7" s="482"/>
      <c r="DQ7" s="482"/>
      <c r="DR7" s="482"/>
      <c r="DS7" s="482"/>
      <c r="DT7" s="482"/>
      <c r="DU7" s="482"/>
      <c r="DV7" s="482"/>
      <c r="DW7" s="482"/>
      <c r="DX7" s="482"/>
      <c r="DY7" s="482"/>
      <c r="DZ7" s="482"/>
      <c r="EA7" s="482"/>
      <c r="EB7" s="482"/>
      <c r="EC7" s="482"/>
      <c r="ED7" s="482"/>
      <c r="EE7" s="482"/>
      <c r="EF7" s="482"/>
      <c r="EG7" s="482"/>
      <c r="EH7" s="482"/>
      <c r="EI7" s="482"/>
      <c r="EJ7" s="482"/>
      <c r="EK7" s="482"/>
      <c r="EL7" s="482"/>
      <c r="EM7" s="482"/>
      <c r="EN7" s="482"/>
      <c r="EO7" s="482"/>
      <c r="EP7" s="482"/>
      <c r="EQ7" s="482"/>
      <c r="ER7" s="482"/>
      <c r="ES7" s="482"/>
      <c r="ET7" s="482"/>
      <c r="EU7" s="482"/>
      <c r="EV7" s="482"/>
      <c r="EW7" s="482"/>
      <c r="EX7" s="482"/>
      <c r="EY7" s="482"/>
      <c r="EZ7" s="482"/>
      <c r="FA7" s="482"/>
      <c r="FB7" s="482"/>
      <c r="FC7" s="482"/>
      <c r="FD7" s="482"/>
      <c r="FE7" s="482"/>
      <c r="FF7" s="482"/>
      <c r="FG7" s="482"/>
      <c r="FH7" s="482"/>
      <c r="FI7" s="482"/>
      <c r="FJ7" s="482"/>
      <c r="FK7" s="482"/>
      <c r="FL7" s="482"/>
      <c r="FM7" s="482"/>
      <c r="FN7" s="482"/>
      <c r="FO7" s="482"/>
      <c r="FP7" s="482"/>
      <c r="FQ7" s="482"/>
      <c r="FR7" s="482"/>
      <c r="FS7" s="482"/>
      <c r="FT7" s="482"/>
      <c r="FU7" s="482"/>
      <c r="FV7" s="482"/>
      <c r="FW7" s="482"/>
      <c r="FX7" s="482"/>
      <c r="FY7" s="482"/>
      <c r="FZ7" s="482"/>
      <c r="GA7" s="482"/>
      <c r="GB7" s="482"/>
      <c r="GC7" s="482"/>
      <c r="GD7" s="482"/>
      <c r="GE7" s="482"/>
      <c r="GF7" s="482"/>
      <c r="GG7" s="482"/>
      <c r="GH7" s="482"/>
      <c r="GI7" s="482"/>
      <c r="GJ7" s="482"/>
      <c r="GK7" s="482"/>
      <c r="GL7" s="482"/>
      <c r="GM7" s="482"/>
      <c r="GN7" s="482"/>
      <c r="GO7" s="482"/>
      <c r="GP7" s="482"/>
      <c r="GQ7" s="482"/>
      <c r="GR7" s="482"/>
      <c r="GS7" s="482"/>
      <c r="GT7" s="482"/>
      <c r="GU7" s="482"/>
      <c r="GV7" s="482"/>
      <c r="GW7" s="482"/>
      <c r="GX7" s="482"/>
      <c r="GY7" s="482"/>
      <c r="GZ7" s="482"/>
      <c r="HA7" s="482"/>
      <c r="HB7" s="482"/>
      <c r="HC7" s="482"/>
      <c r="HD7" s="482"/>
      <c r="HE7" s="482"/>
      <c r="HF7" s="482"/>
      <c r="HG7" s="482"/>
      <c r="HH7" s="482"/>
      <c r="HI7" s="482"/>
      <c r="HJ7" s="482"/>
      <c r="HK7" s="482"/>
      <c r="HL7" s="482"/>
      <c r="HM7" s="482"/>
      <c r="HN7" s="482"/>
      <c r="HO7" s="482"/>
      <c r="HP7" s="482"/>
      <c r="HQ7" s="482"/>
      <c r="HR7" s="482"/>
      <c r="HS7" s="482"/>
      <c r="HT7" s="482"/>
      <c r="HU7" s="482"/>
      <c r="HV7" s="482"/>
      <c r="HW7" s="482"/>
      <c r="HX7" s="482"/>
      <c r="HY7" s="482"/>
      <c r="HZ7" s="482"/>
      <c r="IA7" s="482"/>
      <c r="IB7" s="482"/>
      <c r="IC7" s="482"/>
      <c r="ID7" s="482"/>
      <c r="IE7" s="482"/>
      <c r="IF7" s="482"/>
      <c r="IG7" s="482"/>
      <c r="IH7" s="482"/>
      <c r="II7" s="482"/>
      <c r="IJ7" s="482"/>
      <c r="IK7" s="482"/>
      <c r="IL7" s="482"/>
      <c r="IM7" s="482"/>
      <c r="IN7" s="482"/>
      <c r="IO7" s="482"/>
      <c r="IP7" s="482"/>
      <c r="IQ7" s="482"/>
      <c r="IR7" s="482"/>
    </row>
    <row r="8" spans="1:252" ht="17.25" customHeight="1">
      <c r="A8" s="644" t="s">
        <v>833</v>
      </c>
      <c r="B8" s="645" t="s">
        <v>834</v>
      </c>
      <c r="C8" s="488"/>
      <c r="D8" s="489"/>
      <c r="E8" s="490"/>
      <c r="F8" s="490"/>
      <c r="G8" s="488"/>
      <c r="H8" s="489"/>
      <c r="I8" s="490"/>
      <c r="J8" s="490"/>
      <c r="K8" s="490"/>
      <c r="L8" s="490"/>
      <c r="M8" s="490"/>
      <c r="N8" s="490"/>
      <c r="O8" s="490"/>
      <c r="P8" s="646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482"/>
      <c r="AH8" s="482"/>
      <c r="AI8" s="482"/>
      <c r="AJ8" s="482"/>
      <c r="AK8" s="482"/>
      <c r="AL8" s="482"/>
      <c r="AM8" s="482"/>
      <c r="AN8" s="482"/>
      <c r="AO8" s="482"/>
      <c r="AP8" s="482"/>
      <c r="AQ8" s="482"/>
      <c r="AR8" s="482"/>
      <c r="AS8" s="482"/>
      <c r="AT8" s="482"/>
      <c r="AU8" s="482"/>
      <c r="AV8" s="482"/>
      <c r="AW8" s="482"/>
      <c r="AX8" s="482"/>
      <c r="AY8" s="482"/>
      <c r="AZ8" s="482"/>
      <c r="BA8" s="482"/>
      <c r="BB8" s="482"/>
      <c r="BC8" s="482"/>
      <c r="BD8" s="482"/>
      <c r="BE8" s="482"/>
      <c r="BF8" s="482"/>
      <c r="BG8" s="482"/>
      <c r="BH8" s="482"/>
      <c r="BI8" s="482"/>
      <c r="BJ8" s="482"/>
      <c r="BK8" s="482"/>
      <c r="BL8" s="482"/>
      <c r="BM8" s="482"/>
      <c r="BN8" s="482"/>
      <c r="BO8" s="482"/>
      <c r="BP8" s="482"/>
      <c r="BQ8" s="482"/>
      <c r="BR8" s="482"/>
      <c r="BS8" s="482"/>
      <c r="BT8" s="482"/>
      <c r="BU8" s="482"/>
      <c r="BV8" s="482"/>
      <c r="BW8" s="482"/>
      <c r="BX8" s="482"/>
      <c r="BY8" s="482"/>
      <c r="BZ8" s="482"/>
      <c r="CA8" s="482"/>
      <c r="CB8" s="482"/>
      <c r="CC8" s="482"/>
      <c r="CD8" s="482"/>
      <c r="CE8" s="482"/>
      <c r="CF8" s="482"/>
      <c r="CG8" s="482"/>
      <c r="CH8" s="482"/>
      <c r="CI8" s="482"/>
      <c r="CJ8" s="482"/>
      <c r="CK8" s="482"/>
      <c r="CL8" s="482"/>
      <c r="CM8" s="482"/>
      <c r="CN8" s="482"/>
      <c r="CO8" s="482"/>
      <c r="CP8" s="482"/>
      <c r="CQ8" s="482"/>
      <c r="CR8" s="482"/>
      <c r="CS8" s="482"/>
      <c r="CT8" s="482"/>
      <c r="CU8" s="482"/>
      <c r="CV8" s="482"/>
      <c r="CW8" s="482"/>
      <c r="CX8" s="482"/>
      <c r="CY8" s="482"/>
      <c r="CZ8" s="482"/>
      <c r="DA8" s="482"/>
      <c r="DB8" s="482"/>
      <c r="DC8" s="482"/>
      <c r="DD8" s="482"/>
      <c r="DE8" s="482"/>
      <c r="DF8" s="482"/>
      <c r="DG8" s="482"/>
      <c r="DH8" s="482"/>
      <c r="DI8" s="482"/>
      <c r="DJ8" s="482"/>
      <c r="DK8" s="482"/>
      <c r="DL8" s="482"/>
      <c r="DM8" s="482"/>
      <c r="DN8" s="482"/>
      <c r="DO8" s="482"/>
      <c r="DP8" s="482"/>
      <c r="DQ8" s="482"/>
      <c r="DR8" s="482"/>
      <c r="DS8" s="482"/>
      <c r="DT8" s="482"/>
      <c r="DU8" s="482"/>
      <c r="DV8" s="482"/>
      <c r="DW8" s="482"/>
      <c r="DX8" s="482"/>
      <c r="DY8" s="482"/>
      <c r="DZ8" s="482"/>
      <c r="EA8" s="482"/>
      <c r="EB8" s="482"/>
      <c r="EC8" s="482"/>
      <c r="ED8" s="482"/>
      <c r="EE8" s="482"/>
      <c r="EF8" s="482"/>
      <c r="EG8" s="482"/>
      <c r="EH8" s="482"/>
      <c r="EI8" s="482"/>
      <c r="EJ8" s="482"/>
      <c r="EK8" s="482"/>
      <c r="EL8" s="482"/>
      <c r="EM8" s="482"/>
      <c r="EN8" s="482"/>
      <c r="EO8" s="482"/>
      <c r="EP8" s="482"/>
      <c r="EQ8" s="482"/>
      <c r="ER8" s="482"/>
      <c r="ES8" s="482"/>
      <c r="ET8" s="482"/>
      <c r="EU8" s="482"/>
      <c r="EV8" s="482"/>
      <c r="EW8" s="482"/>
      <c r="EX8" s="482"/>
      <c r="EY8" s="482"/>
      <c r="EZ8" s="482"/>
      <c r="FA8" s="482"/>
      <c r="FB8" s="482"/>
      <c r="FC8" s="482"/>
      <c r="FD8" s="482"/>
      <c r="FE8" s="482"/>
      <c r="FF8" s="482"/>
      <c r="FG8" s="482"/>
      <c r="FH8" s="482"/>
      <c r="FI8" s="482"/>
      <c r="FJ8" s="482"/>
      <c r="FK8" s="482"/>
      <c r="FL8" s="482"/>
      <c r="FM8" s="482"/>
      <c r="FN8" s="482"/>
      <c r="FO8" s="482"/>
      <c r="FP8" s="482"/>
      <c r="FQ8" s="482"/>
      <c r="FR8" s="482"/>
      <c r="FS8" s="482"/>
      <c r="FT8" s="482"/>
      <c r="FU8" s="482"/>
      <c r="FV8" s="482"/>
      <c r="FW8" s="482"/>
      <c r="FX8" s="482"/>
      <c r="FY8" s="482"/>
      <c r="FZ8" s="482"/>
      <c r="GA8" s="482"/>
      <c r="GB8" s="482"/>
      <c r="GC8" s="482"/>
      <c r="GD8" s="482"/>
      <c r="GE8" s="482"/>
      <c r="GF8" s="482"/>
      <c r="GG8" s="482"/>
      <c r="GH8" s="482"/>
      <c r="GI8" s="482"/>
      <c r="GJ8" s="482"/>
      <c r="GK8" s="482"/>
      <c r="GL8" s="482"/>
      <c r="GM8" s="482"/>
      <c r="GN8" s="482"/>
      <c r="GO8" s="482"/>
      <c r="GP8" s="482"/>
      <c r="GQ8" s="482"/>
      <c r="GR8" s="482"/>
      <c r="GS8" s="482"/>
      <c r="GT8" s="482"/>
      <c r="GU8" s="482"/>
      <c r="GV8" s="482"/>
      <c r="GW8" s="482"/>
      <c r="GX8" s="482"/>
      <c r="GY8" s="482"/>
      <c r="GZ8" s="482"/>
      <c r="HA8" s="482"/>
      <c r="HB8" s="482"/>
      <c r="HC8" s="482"/>
      <c r="HD8" s="482"/>
      <c r="HE8" s="482"/>
      <c r="HF8" s="482"/>
      <c r="HG8" s="482"/>
      <c r="HH8" s="482"/>
      <c r="HI8" s="482"/>
      <c r="HJ8" s="482"/>
      <c r="HK8" s="482"/>
      <c r="HL8" s="482"/>
      <c r="HM8" s="482"/>
      <c r="HN8" s="482"/>
      <c r="HO8" s="482"/>
      <c r="HP8" s="482"/>
      <c r="HQ8" s="482"/>
      <c r="HR8" s="482"/>
      <c r="HS8" s="482"/>
      <c r="HT8" s="482"/>
      <c r="HU8" s="482"/>
      <c r="HV8" s="482"/>
      <c r="HW8" s="482"/>
      <c r="HX8" s="482"/>
      <c r="HY8" s="482"/>
      <c r="HZ8" s="482"/>
      <c r="IA8" s="482"/>
      <c r="IB8" s="482"/>
      <c r="IC8" s="482"/>
      <c r="ID8" s="482"/>
      <c r="IE8" s="482"/>
      <c r="IF8" s="482"/>
      <c r="IG8" s="482"/>
      <c r="IH8" s="482"/>
      <c r="II8" s="482"/>
      <c r="IJ8" s="482"/>
      <c r="IK8" s="482"/>
      <c r="IL8" s="482"/>
      <c r="IM8" s="482"/>
      <c r="IN8" s="482"/>
      <c r="IO8" s="482"/>
      <c r="IP8" s="482"/>
      <c r="IQ8" s="482"/>
      <c r="IR8" s="482"/>
    </row>
    <row r="9" spans="1:252" ht="17.25" customHeight="1">
      <c r="A9" s="647" t="s">
        <v>835</v>
      </c>
      <c r="B9" s="648" t="s">
        <v>836</v>
      </c>
      <c r="C9" s="491">
        <v>1698.6</v>
      </c>
      <c r="D9" s="489" t="s">
        <v>837</v>
      </c>
      <c r="E9" s="490">
        <v>22300</v>
      </c>
      <c r="F9" s="496">
        <f>C9*E9</f>
        <v>37878780</v>
      </c>
      <c r="G9" s="491">
        <v>1697.7</v>
      </c>
      <c r="H9" s="489" t="s">
        <v>837</v>
      </c>
      <c r="I9" s="490">
        <v>22300</v>
      </c>
      <c r="J9" s="496">
        <v>37859535</v>
      </c>
      <c r="K9" s="496">
        <v>37859</v>
      </c>
      <c r="L9" s="496">
        <v>37859</v>
      </c>
      <c r="M9" s="496">
        <v>37859</v>
      </c>
      <c r="N9" s="496">
        <v>37859</v>
      </c>
      <c r="O9" s="496">
        <v>37859</v>
      </c>
      <c r="P9" s="649">
        <v>37859</v>
      </c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482"/>
      <c r="BF9" s="482"/>
      <c r="BG9" s="482"/>
      <c r="BH9" s="482"/>
      <c r="BI9" s="482"/>
      <c r="BJ9" s="482"/>
      <c r="BK9" s="482"/>
      <c r="BL9" s="482"/>
      <c r="BM9" s="482"/>
      <c r="BN9" s="482"/>
      <c r="BO9" s="482"/>
      <c r="BP9" s="482"/>
      <c r="BQ9" s="482"/>
      <c r="BR9" s="482"/>
      <c r="BS9" s="482"/>
      <c r="BT9" s="482"/>
      <c r="BU9" s="482"/>
      <c r="BV9" s="482"/>
      <c r="BW9" s="482"/>
      <c r="BX9" s="482"/>
      <c r="BY9" s="482"/>
      <c r="BZ9" s="482"/>
      <c r="CA9" s="482"/>
      <c r="CB9" s="482"/>
      <c r="CC9" s="482"/>
      <c r="CD9" s="482"/>
      <c r="CE9" s="482"/>
      <c r="CF9" s="482"/>
      <c r="CG9" s="482"/>
      <c r="CH9" s="482"/>
      <c r="CI9" s="482"/>
      <c r="CJ9" s="482"/>
      <c r="CK9" s="482"/>
      <c r="CL9" s="482"/>
      <c r="CM9" s="482"/>
      <c r="CN9" s="482"/>
      <c r="CO9" s="482"/>
      <c r="CP9" s="482"/>
      <c r="CQ9" s="482"/>
      <c r="CR9" s="482"/>
      <c r="CS9" s="482"/>
      <c r="CT9" s="482"/>
      <c r="CU9" s="482"/>
      <c r="CV9" s="482"/>
      <c r="CW9" s="482"/>
      <c r="CX9" s="482"/>
      <c r="CY9" s="482"/>
      <c r="CZ9" s="482"/>
      <c r="DA9" s="482"/>
      <c r="DB9" s="482"/>
      <c r="DC9" s="482"/>
      <c r="DD9" s="482"/>
      <c r="DE9" s="482"/>
      <c r="DF9" s="482"/>
      <c r="DG9" s="482"/>
      <c r="DH9" s="482"/>
      <c r="DI9" s="482"/>
      <c r="DJ9" s="482"/>
      <c r="DK9" s="482"/>
      <c r="DL9" s="482"/>
      <c r="DM9" s="482"/>
      <c r="DN9" s="482"/>
      <c r="DO9" s="482"/>
      <c r="DP9" s="482"/>
      <c r="DQ9" s="482"/>
      <c r="DR9" s="482"/>
      <c r="DS9" s="482"/>
      <c r="DT9" s="482"/>
      <c r="DU9" s="482"/>
      <c r="DV9" s="482"/>
      <c r="DW9" s="482"/>
      <c r="DX9" s="482"/>
      <c r="DY9" s="482"/>
      <c r="DZ9" s="482"/>
      <c r="EA9" s="482"/>
      <c r="EB9" s="482"/>
      <c r="EC9" s="482"/>
      <c r="ED9" s="482"/>
      <c r="EE9" s="482"/>
      <c r="EF9" s="482"/>
      <c r="EG9" s="482"/>
      <c r="EH9" s="482"/>
      <c r="EI9" s="482"/>
      <c r="EJ9" s="482"/>
      <c r="EK9" s="482"/>
      <c r="EL9" s="482"/>
      <c r="EM9" s="482"/>
      <c r="EN9" s="482"/>
      <c r="EO9" s="482"/>
      <c r="EP9" s="482"/>
      <c r="EQ9" s="482"/>
      <c r="ER9" s="482"/>
      <c r="ES9" s="482"/>
      <c r="ET9" s="482"/>
      <c r="EU9" s="482"/>
      <c r="EV9" s="482"/>
      <c r="EW9" s="482"/>
      <c r="EX9" s="482"/>
      <c r="EY9" s="482"/>
      <c r="EZ9" s="482"/>
      <c r="FA9" s="482"/>
      <c r="FB9" s="482"/>
      <c r="FC9" s="482"/>
      <c r="FD9" s="482"/>
      <c r="FE9" s="482"/>
      <c r="FF9" s="482"/>
      <c r="FG9" s="482"/>
      <c r="FH9" s="482"/>
      <c r="FI9" s="482"/>
      <c r="FJ9" s="482"/>
      <c r="FK9" s="482"/>
      <c r="FL9" s="482"/>
      <c r="FM9" s="482"/>
      <c r="FN9" s="482"/>
      <c r="FO9" s="482"/>
      <c r="FP9" s="482"/>
      <c r="FQ9" s="482"/>
      <c r="FR9" s="482"/>
      <c r="FS9" s="482"/>
      <c r="FT9" s="482"/>
      <c r="FU9" s="482"/>
      <c r="FV9" s="482"/>
      <c r="FW9" s="482"/>
      <c r="FX9" s="482"/>
      <c r="FY9" s="482"/>
      <c r="FZ9" s="482"/>
      <c r="GA9" s="482"/>
      <c r="GB9" s="482"/>
      <c r="GC9" s="482"/>
      <c r="GD9" s="482"/>
      <c r="GE9" s="482"/>
      <c r="GF9" s="482"/>
      <c r="GG9" s="482"/>
      <c r="GH9" s="482"/>
      <c r="GI9" s="482"/>
      <c r="GJ9" s="482"/>
      <c r="GK9" s="482"/>
      <c r="GL9" s="482"/>
      <c r="GM9" s="482"/>
      <c r="GN9" s="482"/>
      <c r="GO9" s="482"/>
      <c r="GP9" s="482"/>
      <c r="GQ9" s="482"/>
      <c r="GR9" s="482"/>
      <c r="GS9" s="482"/>
      <c r="GT9" s="482"/>
      <c r="GU9" s="482"/>
      <c r="GV9" s="482"/>
      <c r="GW9" s="482"/>
      <c r="GX9" s="482"/>
      <c r="GY9" s="482"/>
      <c r="GZ9" s="482"/>
      <c r="HA9" s="482"/>
      <c r="HB9" s="482"/>
      <c r="HC9" s="482"/>
      <c r="HD9" s="482"/>
      <c r="HE9" s="482"/>
      <c r="HF9" s="482"/>
      <c r="HG9" s="482"/>
      <c r="HH9" s="482"/>
      <c r="HI9" s="482"/>
      <c r="HJ9" s="482"/>
      <c r="HK9" s="482"/>
      <c r="HL9" s="482"/>
      <c r="HM9" s="482"/>
      <c r="HN9" s="482"/>
      <c r="HO9" s="482"/>
      <c r="HP9" s="482"/>
      <c r="HQ9" s="482"/>
      <c r="HR9" s="482"/>
      <c r="HS9" s="482"/>
      <c r="HT9" s="482"/>
      <c r="HU9" s="482"/>
      <c r="HV9" s="482"/>
      <c r="HW9" s="482"/>
      <c r="HX9" s="482"/>
      <c r="HY9" s="482"/>
      <c r="HZ9" s="482"/>
      <c r="IA9" s="482"/>
      <c r="IB9" s="482"/>
      <c r="IC9" s="482"/>
      <c r="ID9" s="482"/>
      <c r="IE9" s="482"/>
      <c r="IF9" s="482"/>
      <c r="IG9" s="482"/>
      <c r="IH9" s="482"/>
      <c r="II9" s="482"/>
      <c r="IJ9" s="482"/>
      <c r="IK9" s="482"/>
      <c r="IL9" s="482"/>
      <c r="IM9" s="482"/>
      <c r="IN9" s="482"/>
      <c r="IO9" s="482"/>
      <c r="IP9" s="482"/>
      <c r="IQ9" s="482"/>
      <c r="IR9" s="482"/>
    </row>
    <row r="10" spans="1:16" s="605" customFormat="1" ht="17.25" customHeight="1">
      <c r="A10" s="647" t="s">
        <v>838</v>
      </c>
      <c r="B10" s="650" t="s">
        <v>839</v>
      </c>
      <c r="C10" s="492"/>
      <c r="D10" s="493" t="s">
        <v>840</v>
      </c>
      <c r="E10" s="494"/>
      <c r="F10" s="496">
        <v>76483200</v>
      </c>
      <c r="G10" s="492">
        <v>206.4</v>
      </c>
      <c r="H10" s="493" t="s">
        <v>841</v>
      </c>
      <c r="I10" s="494">
        <v>400000</v>
      </c>
      <c r="J10" s="496">
        <v>82560000</v>
      </c>
      <c r="K10" s="496">
        <v>82560</v>
      </c>
      <c r="L10" s="496">
        <v>82560</v>
      </c>
      <c r="M10" s="496">
        <v>82560</v>
      </c>
      <c r="N10" s="496">
        <v>82560</v>
      </c>
      <c r="O10" s="496">
        <v>82560</v>
      </c>
      <c r="P10" s="649">
        <v>82560</v>
      </c>
    </row>
    <row r="11" spans="1:16" s="606" customFormat="1" ht="17.25" customHeight="1">
      <c r="A11" s="647" t="s">
        <v>842</v>
      </c>
      <c r="B11" s="648" t="s">
        <v>843</v>
      </c>
      <c r="C11" s="495"/>
      <c r="D11" s="493" t="s">
        <v>840</v>
      </c>
      <c r="E11" s="496"/>
      <c r="F11" s="496">
        <v>13458016</v>
      </c>
      <c r="G11" s="497">
        <v>129404</v>
      </c>
      <c r="H11" s="493" t="s">
        <v>844</v>
      </c>
      <c r="I11" s="490" t="s">
        <v>845</v>
      </c>
      <c r="J11" s="496">
        <v>13458016</v>
      </c>
      <c r="K11" s="496">
        <v>13458</v>
      </c>
      <c r="L11" s="496">
        <v>13458</v>
      </c>
      <c r="M11" s="496">
        <v>13458</v>
      </c>
      <c r="N11" s="496">
        <v>13458</v>
      </c>
      <c r="O11" s="496">
        <v>13458</v>
      </c>
      <c r="P11" s="649">
        <v>13458</v>
      </c>
    </row>
    <row r="12" spans="1:252" ht="17.25" customHeight="1">
      <c r="A12" s="647" t="s">
        <v>846</v>
      </c>
      <c r="B12" s="648" t="s">
        <v>847</v>
      </c>
      <c r="C12" s="495"/>
      <c r="D12" s="493" t="s">
        <v>840</v>
      </c>
      <c r="E12" s="490"/>
      <c r="F12" s="496">
        <v>30149000</v>
      </c>
      <c r="G12" s="498">
        <v>102.31</v>
      </c>
      <c r="H12" s="493" t="s">
        <v>841</v>
      </c>
      <c r="I12" s="490" t="s">
        <v>848</v>
      </c>
      <c r="J12" s="496">
        <v>30181450</v>
      </c>
      <c r="K12" s="496">
        <v>30181</v>
      </c>
      <c r="L12" s="496">
        <v>30181</v>
      </c>
      <c r="M12" s="496">
        <v>30181</v>
      </c>
      <c r="N12" s="496">
        <v>30181</v>
      </c>
      <c r="O12" s="496">
        <v>30181</v>
      </c>
      <c r="P12" s="649">
        <v>30181</v>
      </c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2"/>
      <c r="DY12" s="482"/>
      <c r="DZ12" s="482"/>
      <c r="EA12" s="482"/>
      <c r="EB12" s="482"/>
      <c r="EC12" s="482"/>
      <c r="ED12" s="482"/>
      <c r="EE12" s="482"/>
      <c r="EF12" s="482"/>
      <c r="EG12" s="482"/>
      <c r="EH12" s="482"/>
      <c r="EI12" s="482"/>
      <c r="EJ12" s="482"/>
      <c r="EK12" s="482"/>
      <c r="EL12" s="482"/>
      <c r="EM12" s="482"/>
      <c r="EN12" s="482"/>
      <c r="EO12" s="482"/>
      <c r="EP12" s="482"/>
      <c r="EQ12" s="482"/>
      <c r="ER12" s="482"/>
      <c r="ES12" s="482"/>
      <c r="ET12" s="482"/>
      <c r="EU12" s="482"/>
      <c r="EV12" s="482"/>
      <c r="EW12" s="482"/>
      <c r="EX12" s="482"/>
      <c r="EY12" s="482"/>
      <c r="EZ12" s="482"/>
      <c r="FA12" s="482"/>
      <c r="FB12" s="482"/>
      <c r="FC12" s="482"/>
      <c r="FD12" s="482"/>
      <c r="FE12" s="482"/>
      <c r="FF12" s="482"/>
      <c r="FG12" s="482"/>
      <c r="FH12" s="482"/>
      <c r="FI12" s="482"/>
      <c r="FJ12" s="482"/>
      <c r="FK12" s="482"/>
      <c r="FL12" s="482"/>
      <c r="FM12" s="482"/>
      <c r="FN12" s="482"/>
      <c r="FO12" s="482"/>
      <c r="FP12" s="482"/>
      <c r="FQ12" s="482"/>
      <c r="FR12" s="482"/>
      <c r="FS12" s="482"/>
      <c r="FT12" s="482"/>
      <c r="FU12" s="482"/>
      <c r="FV12" s="482"/>
      <c r="FW12" s="482"/>
      <c r="FX12" s="482"/>
      <c r="FY12" s="482"/>
      <c r="FZ12" s="482"/>
      <c r="GA12" s="482"/>
      <c r="GB12" s="482"/>
      <c r="GC12" s="482"/>
      <c r="GD12" s="482"/>
      <c r="GE12" s="482"/>
      <c r="GF12" s="482"/>
      <c r="GG12" s="482"/>
      <c r="GH12" s="482"/>
      <c r="GI12" s="482"/>
      <c r="GJ12" s="482"/>
      <c r="GK12" s="482"/>
      <c r="GL12" s="482"/>
      <c r="GM12" s="482"/>
      <c r="GN12" s="482"/>
      <c r="GO12" s="482"/>
      <c r="GP12" s="482"/>
      <c r="GQ12" s="482"/>
      <c r="GR12" s="482"/>
      <c r="GS12" s="482"/>
      <c r="GT12" s="482"/>
      <c r="GU12" s="482"/>
      <c r="GV12" s="482"/>
      <c r="GW12" s="482"/>
      <c r="GX12" s="482"/>
      <c r="GY12" s="482"/>
      <c r="GZ12" s="482"/>
      <c r="HA12" s="482"/>
      <c r="HB12" s="482"/>
      <c r="HC12" s="482"/>
      <c r="HD12" s="482"/>
      <c r="HE12" s="482"/>
      <c r="HF12" s="482"/>
      <c r="HG12" s="482"/>
      <c r="HH12" s="482"/>
      <c r="HI12" s="482"/>
      <c r="HJ12" s="482"/>
      <c r="HK12" s="482"/>
      <c r="HL12" s="482"/>
      <c r="HM12" s="482"/>
      <c r="HN12" s="482"/>
      <c r="HO12" s="482"/>
      <c r="HP12" s="482"/>
      <c r="HQ12" s="482"/>
      <c r="HR12" s="482"/>
      <c r="HS12" s="482"/>
      <c r="HT12" s="482"/>
      <c r="HU12" s="482"/>
      <c r="HV12" s="482"/>
      <c r="HW12" s="482"/>
      <c r="HX12" s="482"/>
      <c r="HY12" s="482"/>
      <c r="HZ12" s="482"/>
      <c r="IA12" s="482"/>
      <c r="IB12" s="482"/>
      <c r="IC12" s="482"/>
      <c r="ID12" s="482"/>
      <c r="IE12" s="482"/>
      <c r="IF12" s="482"/>
      <c r="IG12" s="482"/>
      <c r="IH12" s="482"/>
      <c r="II12" s="482"/>
      <c r="IJ12" s="482"/>
      <c r="IK12" s="482"/>
      <c r="IL12" s="482"/>
      <c r="IM12" s="482"/>
      <c r="IN12" s="482"/>
      <c r="IO12" s="482"/>
      <c r="IP12" s="482"/>
      <c r="IQ12" s="482"/>
      <c r="IR12" s="482"/>
    </row>
    <row r="13" spans="1:252" ht="17.25" customHeight="1">
      <c r="A13" s="640" t="s">
        <v>833</v>
      </c>
      <c r="B13" s="641" t="s">
        <v>849</v>
      </c>
      <c r="C13" s="497"/>
      <c r="D13" s="493"/>
      <c r="E13" s="499"/>
      <c r="F13" s="642">
        <f>SUM(F9:F12)</f>
        <v>157968996</v>
      </c>
      <c r="G13" s="497"/>
      <c r="H13" s="493"/>
      <c r="I13" s="499"/>
      <c r="J13" s="642">
        <f aca="true" t="shared" si="0" ref="J13:P13">SUM(J9:J12)</f>
        <v>164059001</v>
      </c>
      <c r="K13" s="642">
        <f t="shared" si="0"/>
        <v>164058</v>
      </c>
      <c r="L13" s="642">
        <f t="shared" si="0"/>
        <v>164058</v>
      </c>
      <c r="M13" s="642">
        <f t="shared" si="0"/>
        <v>164058</v>
      </c>
      <c r="N13" s="642">
        <f t="shared" si="0"/>
        <v>164058</v>
      </c>
      <c r="O13" s="642">
        <f t="shared" si="0"/>
        <v>164058</v>
      </c>
      <c r="P13" s="643">
        <f t="shared" si="0"/>
        <v>164058</v>
      </c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482"/>
      <c r="BF13" s="482"/>
      <c r="BG13" s="482"/>
      <c r="BH13" s="482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2"/>
      <c r="BY13" s="482"/>
      <c r="BZ13" s="482"/>
      <c r="CA13" s="482"/>
      <c r="CB13" s="482"/>
      <c r="CC13" s="482"/>
      <c r="CD13" s="482"/>
      <c r="CE13" s="482"/>
      <c r="CF13" s="482"/>
      <c r="CG13" s="482"/>
      <c r="CH13" s="482"/>
      <c r="CI13" s="482"/>
      <c r="CJ13" s="482"/>
      <c r="CK13" s="482"/>
      <c r="CL13" s="482"/>
      <c r="CM13" s="482"/>
      <c r="CN13" s="482"/>
      <c r="CO13" s="482"/>
      <c r="CP13" s="482"/>
      <c r="CQ13" s="482"/>
      <c r="CR13" s="482"/>
      <c r="CS13" s="482"/>
      <c r="CT13" s="482"/>
      <c r="CU13" s="482"/>
      <c r="CV13" s="482"/>
      <c r="CW13" s="482"/>
      <c r="CX13" s="482"/>
      <c r="CY13" s="482"/>
      <c r="CZ13" s="482"/>
      <c r="DA13" s="482"/>
      <c r="DB13" s="482"/>
      <c r="DC13" s="482"/>
      <c r="DD13" s="482"/>
      <c r="DE13" s="482"/>
      <c r="DF13" s="482"/>
      <c r="DG13" s="482"/>
      <c r="DH13" s="482"/>
      <c r="DI13" s="482"/>
      <c r="DJ13" s="482"/>
      <c r="DK13" s="482"/>
      <c r="DL13" s="482"/>
      <c r="DM13" s="482"/>
      <c r="DN13" s="482"/>
      <c r="DO13" s="482"/>
      <c r="DP13" s="482"/>
      <c r="DQ13" s="482"/>
      <c r="DR13" s="482"/>
      <c r="DS13" s="482"/>
      <c r="DT13" s="482"/>
      <c r="DU13" s="482"/>
      <c r="DV13" s="482"/>
      <c r="DW13" s="482"/>
      <c r="DX13" s="482"/>
      <c r="DY13" s="482"/>
      <c r="DZ13" s="482"/>
      <c r="EA13" s="482"/>
      <c r="EB13" s="482"/>
      <c r="EC13" s="482"/>
      <c r="ED13" s="482"/>
      <c r="EE13" s="482"/>
      <c r="EF13" s="482"/>
      <c r="EG13" s="482"/>
      <c r="EH13" s="482"/>
      <c r="EI13" s="482"/>
      <c r="EJ13" s="482"/>
      <c r="EK13" s="482"/>
      <c r="EL13" s="482"/>
      <c r="EM13" s="482"/>
      <c r="EN13" s="482"/>
      <c r="EO13" s="482"/>
      <c r="EP13" s="482"/>
      <c r="EQ13" s="482"/>
      <c r="ER13" s="482"/>
      <c r="ES13" s="482"/>
      <c r="ET13" s="482"/>
      <c r="EU13" s="482"/>
      <c r="EV13" s="482"/>
      <c r="EW13" s="482"/>
      <c r="EX13" s="482"/>
      <c r="EY13" s="482"/>
      <c r="EZ13" s="482"/>
      <c r="FA13" s="482"/>
      <c r="FB13" s="482"/>
      <c r="FC13" s="482"/>
      <c r="FD13" s="482"/>
      <c r="FE13" s="482"/>
      <c r="FF13" s="482"/>
      <c r="FG13" s="482"/>
      <c r="FH13" s="482"/>
      <c r="FI13" s="482"/>
      <c r="FJ13" s="482"/>
      <c r="FK13" s="482"/>
      <c r="FL13" s="482"/>
      <c r="FM13" s="482"/>
      <c r="FN13" s="482"/>
      <c r="FO13" s="482"/>
      <c r="FP13" s="482"/>
      <c r="FQ13" s="482"/>
      <c r="FR13" s="482"/>
      <c r="FS13" s="482"/>
      <c r="FT13" s="482"/>
      <c r="FU13" s="482"/>
      <c r="FV13" s="482"/>
      <c r="FW13" s="482"/>
      <c r="FX13" s="482"/>
      <c r="FY13" s="482"/>
      <c r="FZ13" s="482"/>
      <c r="GA13" s="482"/>
      <c r="GB13" s="482"/>
      <c r="GC13" s="482"/>
      <c r="GD13" s="482"/>
      <c r="GE13" s="482"/>
      <c r="GF13" s="482"/>
      <c r="GG13" s="482"/>
      <c r="GH13" s="482"/>
      <c r="GI13" s="482"/>
      <c r="GJ13" s="482"/>
      <c r="GK13" s="482"/>
      <c r="GL13" s="482"/>
      <c r="GM13" s="482"/>
      <c r="GN13" s="482"/>
      <c r="GO13" s="482"/>
      <c r="GP13" s="482"/>
      <c r="GQ13" s="482"/>
      <c r="GR13" s="482"/>
      <c r="GS13" s="482"/>
      <c r="GT13" s="482"/>
      <c r="GU13" s="482"/>
      <c r="GV13" s="482"/>
      <c r="GW13" s="482"/>
      <c r="GX13" s="482"/>
      <c r="GY13" s="482"/>
      <c r="GZ13" s="482"/>
      <c r="HA13" s="482"/>
      <c r="HB13" s="482"/>
      <c r="HC13" s="482"/>
      <c r="HD13" s="482"/>
      <c r="HE13" s="482"/>
      <c r="HF13" s="482"/>
      <c r="HG13" s="482"/>
      <c r="HH13" s="482"/>
      <c r="HI13" s="482"/>
      <c r="HJ13" s="482"/>
      <c r="HK13" s="482"/>
      <c r="HL13" s="482"/>
      <c r="HM13" s="482"/>
      <c r="HN13" s="482"/>
      <c r="HO13" s="482"/>
      <c r="HP13" s="482"/>
      <c r="HQ13" s="482"/>
      <c r="HR13" s="482"/>
      <c r="HS13" s="482"/>
      <c r="HT13" s="482"/>
      <c r="HU13" s="482"/>
      <c r="HV13" s="482"/>
      <c r="HW13" s="482"/>
      <c r="HX13" s="482"/>
      <c r="HY13" s="482"/>
      <c r="HZ13" s="482"/>
      <c r="IA13" s="482"/>
      <c r="IB13" s="482"/>
      <c r="IC13" s="482"/>
      <c r="ID13" s="482"/>
      <c r="IE13" s="482"/>
      <c r="IF13" s="482"/>
      <c r="IG13" s="482"/>
      <c r="IH13" s="482"/>
      <c r="II13" s="482"/>
      <c r="IJ13" s="482"/>
      <c r="IK13" s="482"/>
      <c r="IL13" s="482"/>
      <c r="IM13" s="482"/>
      <c r="IN13" s="482"/>
      <c r="IO13" s="482"/>
      <c r="IP13" s="482"/>
      <c r="IQ13" s="482"/>
      <c r="IR13" s="482"/>
    </row>
    <row r="14" spans="1:252" ht="17.25" customHeight="1">
      <c r="A14" s="640" t="s">
        <v>850</v>
      </c>
      <c r="B14" s="641" t="s">
        <v>851</v>
      </c>
      <c r="C14" s="490">
        <v>23733</v>
      </c>
      <c r="D14" s="489" t="s">
        <v>832</v>
      </c>
      <c r="E14" s="490">
        <v>2700</v>
      </c>
      <c r="F14" s="642">
        <f>C14*E14</f>
        <v>64079100</v>
      </c>
      <c r="G14" s="490">
        <v>23630</v>
      </c>
      <c r="H14" s="489" t="s">
        <v>832</v>
      </c>
      <c r="I14" s="490">
        <v>2700</v>
      </c>
      <c r="J14" s="642">
        <f>G14*I14</f>
        <v>63801000</v>
      </c>
      <c r="K14" s="642">
        <v>63801</v>
      </c>
      <c r="L14" s="642">
        <v>63801</v>
      </c>
      <c r="M14" s="642">
        <v>63801</v>
      </c>
      <c r="N14" s="642">
        <v>63801</v>
      </c>
      <c r="O14" s="642">
        <v>63801</v>
      </c>
      <c r="P14" s="643">
        <v>63801</v>
      </c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2"/>
      <c r="AJ14" s="482"/>
      <c r="AK14" s="482"/>
      <c r="AL14" s="482"/>
      <c r="AM14" s="482"/>
      <c r="AN14" s="482"/>
      <c r="AO14" s="482"/>
      <c r="AP14" s="482"/>
      <c r="AQ14" s="482"/>
      <c r="AR14" s="482"/>
      <c r="AS14" s="482"/>
      <c r="AT14" s="482"/>
      <c r="AU14" s="482"/>
      <c r="AV14" s="482"/>
      <c r="AW14" s="482"/>
      <c r="AX14" s="482"/>
      <c r="AY14" s="482"/>
      <c r="AZ14" s="482"/>
      <c r="BA14" s="482"/>
      <c r="BB14" s="482"/>
      <c r="BC14" s="482"/>
      <c r="BD14" s="482"/>
      <c r="BE14" s="482"/>
      <c r="BF14" s="482"/>
      <c r="BG14" s="482"/>
      <c r="BH14" s="482"/>
      <c r="BI14" s="482"/>
      <c r="BJ14" s="482"/>
      <c r="BK14" s="482"/>
      <c r="BL14" s="482"/>
      <c r="BM14" s="482"/>
      <c r="BN14" s="482"/>
      <c r="BO14" s="482"/>
      <c r="BP14" s="482"/>
      <c r="BQ14" s="482"/>
      <c r="BR14" s="482"/>
      <c r="BS14" s="482"/>
      <c r="BT14" s="482"/>
      <c r="BU14" s="482"/>
      <c r="BV14" s="482"/>
      <c r="BW14" s="482"/>
      <c r="BX14" s="482"/>
      <c r="BY14" s="482"/>
      <c r="BZ14" s="482"/>
      <c r="CA14" s="482"/>
      <c r="CB14" s="482"/>
      <c r="CC14" s="482"/>
      <c r="CD14" s="482"/>
      <c r="CE14" s="482"/>
      <c r="CF14" s="482"/>
      <c r="CG14" s="482"/>
      <c r="CH14" s="482"/>
      <c r="CI14" s="482"/>
      <c r="CJ14" s="482"/>
      <c r="CK14" s="482"/>
      <c r="CL14" s="482"/>
      <c r="CM14" s="482"/>
      <c r="CN14" s="482"/>
      <c r="CO14" s="482"/>
      <c r="CP14" s="482"/>
      <c r="CQ14" s="482"/>
      <c r="CR14" s="482"/>
      <c r="CS14" s="482"/>
      <c r="CT14" s="482"/>
      <c r="CU14" s="482"/>
      <c r="CV14" s="482"/>
      <c r="CW14" s="482"/>
      <c r="CX14" s="482"/>
      <c r="CY14" s="482"/>
      <c r="CZ14" s="482"/>
      <c r="DA14" s="482"/>
      <c r="DB14" s="482"/>
      <c r="DC14" s="482"/>
      <c r="DD14" s="482"/>
      <c r="DE14" s="482"/>
      <c r="DF14" s="482"/>
      <c r="DG14" s="482"/>
      <c r="DH14" s="482"/>
      <c r="DI14" s="482"/>
      <c r="DJ14" s="482"/>
      <c r="DK14" s="482"/>
      <c r="DL14" s="482"/>
      <c r="DM14" s="482"/>
      <c r="DN14" s="482"/>
      <c r="DO14" s="482"/>
      <c r="DP14" s="482"/>
      <c r="DQ14" s="482"/>
      <c r="DR14" s="482"/>
      <c r="DS14" s="482"/>
      <c r="DT14" s="482"/>
      <c r="DU14" s="482"/>
      <c r="DV14" s="482"/>
      <c r="DW14" s="482"/>
      <c r="DX14" s="482"/>
      <c r="DY14" s="482"/>
      <c r="DZ14" s="482"/>
      <c r="EA14" s="482"/>
      <c r="EB14" s="482"/>
      <c r="EC14" s="482"/>
      <c r="ED14" s="482"/>
      <c r="EE14" s="482"/>
      <c r="EF14" s="482"/>
      <c r="EG14" s="482"/>
      <c r="EH14" s="482"/>
      <c r="EI14" s="482"/>
      <c r="EJ14" s="482"/>
      <c r="EK14" s="482"/>
      <c r="EL14" s="482"/>
      <c r="EM14" s="482"/>
      <c r="EN14" s="482"/>
      <c r="EO14" s="482"/>
      <c r="EP14" s="482"/>
      <c r="EQ14" s="482"/>
      <c r="ER14" s="482"/>
      <c r="ES14" s="482"/>
      <c r="ET14" s="482"/>
      <c r="EU14" s="482"/>
      <c r="EV14" s="482"/>
      <c r="EW14" s="482"/>
      <c r="EX14" s="482"/>
      <c r="EY14" s="482"/>
      <c r="EZ14" s="482"/>
      <c r="FA14" s="482"/>
      <c r="FB14" s="482"/>
      <c r="FC14" s="482"/>
      <c r="FD14" s="482"/>
      <c r="FE14" s="482"/>
      <c r="FF14" s="482"/>
      <c r="FG14" s="482"/>
      <c r="FH14" s="482"/>
      <c r="FI14" s="482"/>
      <c r="FJ14" s="482"/>
      <c r="FK14" s="482"/>
      <c r="FL14" s="482"/>
      <c r="FM14" s="482"/>
      <c r="FN14" s="482"/>
      <c r="FO14" s="482"/>
      <c r="FP14" s="482"/>
      <c r="FQ14" s="482"/>
      <c r="FR14" s="482"/>
      <c r="FS14" s="482"/>
      <c r="FT14" s="482"/>
      <c r="FU14" s="482"/>
      <c r="FV14" s="482"/>
      <c r="FW14" s="482"/>
      <c r="FX14" s="482"/>
      <c r="FY14" s="482"/>
      <c r="FZ14" s="482"/>
      <c r="GA14" s="482"/>
      <c r="GB14" s="482"/>
      <c r="GC14" s="482"/>
      <c r="GD14" s="482"/>
      <c r="GE14" s="482"/>
      <c r="GF14" s="482"/>
      <c r="GG14" s="482"/>
      <c r="GH14" s="482"/>
      <c r="GI14" s="482"/>
      <c r="GJ14" s="482"/>
      <c r="GK14" s="482"/>
      <c r="GL14" s="482"/>
      <c r="GM14" s="482"/>
      <c r="GN14" s="482"/>
      <c r="GO14" s="482"/>
      <c r="GP14" s="482"/>
      <c r="GQ14" s="482"/>
      <c r="GR14" s="482"/>
      <c r="GS14" s="482"/>
      <c r="GT14" s="482"/>
      <c r="GU14" s="482"/>
      <c r="GV14" s="482"/>
      <c r="GW14" s="482"/>
      <c r="GX14" s="482"/>
      <c r="GY14" s="482"/>
      <c r="GZ14" s="482"/>
      <c r="HA14" s="482"/>
      <c r="HB14" s="482"/>
      <c r="HC14" s="482"/>
      <c r="HD14" s="482"/>
      <c r="HE14" s="482"/>
      <c r="HF14" s="482"/>
      <c r="HG14" s="482"/>
      <c r="HH14" s="482"/>
      <c r="HI14" s="482"/>
      <c r="HJ14" s="482"/>
      <c r="HK14" s="482"/>
      <c r="HL14" s="482"/>
      <c r="HM14" s="482"/>
      <c r="HN14" s="482"/>
      <c r="HO14" s="482"/>
      <c r="HP14" s="482"/>
      <c r="HQ14" s="482"/>
      <c r="HR14" s="482"/>
      <c r="HS14" s="482"/>
      <c r="HT14" s="482"/>
      <c r="HU14" s="482"/>
      <c r="HV14" s="482"/>
      <c r="HW14" s="482"/>
      <c r="HX14" s="482"/>
      <c r="HY14" s="482"/>
      <c r="HZ14" s="482"/>
      <c r="IA14" s="482"/>
      <c r="IB14" s="482"/>
      <c r="IC14" s="482"/>
      <c r="ID14" s="482"/>
      <c r="IE14" s="482"/>
      <c r="IF14" s="482"/>
      <c r="IG14" s="482"/>
      <c r="IH14" s="482"/>
      <c r="II14" s="482"/>
      <c r="IJ14" s="482"/>
      <c r="IK14" s="482"/>
      <c r="IL14" s="482"/>
      <c r="IM14" s="482"/>
      <c r="IN14" s="482"/>
      <c r="IO14" s="482"/>
      <c r="IP14" s="482"/>
      <c r="IQ14" s="482"/>
      <c r="IR14" s="482"/>
    </row>
    <row r="15" spans="1:252" ht="15" customHeight="1">
      <c r="A15" s="640" t="s">
        <v>852</v>
      </c>
      <c r="B15" s="641" t="s">
        <v>853</v>
      </c>
      <c r="C15" s="490"/>
      <c r="D15" s="489"/>
      <c r="E15" s="490"/>
      <c r="F15" s="642"/>
      <c r="G15" s="490">
        <v>703</v>
      </c>
      <c r="H15" s="489" t="s">
        <v>832</v>
      </c>
      <c r="I15" s="651" t="s">
        <v>854</v>
      </c>
      <c r="J15" s="642">
        <v>1792650</v>
      </c>
      <c r="K15" s="642">
        <v>1793</v>
      </c>
      <c r="L15" s="642">
        <v>1793</v>
      </c>
      <c r="M15" s="642">
        <v>1793</v>
      </c>
      <c r="N15" s="642">
        <v>1793</v>
      </c>
      <c r="O15" s="642">
        <v>1793</v>
      </c>
      <c r="P15" s="643">
        <v>1793</v>
      </c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  <c r="AU15" s="482"/>
      <c r="AV15" s="482"/>
      <c r="AW15" s="482"/>
      <c r="AX15" s="482"/>
      <c r="AY15" s="482"/>
      <c r="AZ15" s="482"/>
      <c r="BA15" s="482"/>
      <c r="BB15" s="482"/>
      <c r="BC15" s="482"/>
      <c r="BD15" s="482"/>
      <c r="BE15" s="482"/>
      <c r="BF15" s="482"/>
      <c r="BG15" s="482"/>
      <c r="BH15" s="482"/>
      <c r="BI15" s="482"/>
      <c r="BJ15" s="482"/>
      <c r="BK15" s="482"/>
      <c r="BL15" s="482"/>
      <c r="BM15" s="482"/>
      <c r="BN15" s="482"/>
      <c r="BO15" s="482"/>
      <c r="BP15" s="482"/>
      <c r="BQ15" s="482"/>
      <c r="BR15" s="482"/>
      <c r="BS15" s="482"/>
      <c r="BT15" s="482"/>
      <c r="BU15" s="482"/>
      <c r="BV15" s="482"/>
      <c r="BW15" s="482"/>
      <c r="BX15" s="482"/>
      <c r="BY15" s="482"/>
      <c r="BZ15" s="482"/>
      <c r="CA15" s="482"/>
      <c r="CB15" s="482"/>
      <c r="CC15" s="482"/>
      <c r="CD15" s="482"/>
      <c r="CE15" s="482"/>
      <c r="CF15" s="482"/>
      <c r="CG15" s="482"/>
      <c r="CH15" s="482"/>
      <c r="CI15" s="482"/>
      <c r="CJ15" s="482"/>
      <c r="CK15" s="482"/>
      <c r="CL15" s="482"/>
      <c r="CM15" s="482"/>
      <c r="CN15" s="482"/>
      <c r="CO15" s="482"/>
      <c r="CP15" s="482"/>
      <c r="CQ15" s="482"/>
      <c r="CR15" s="482"/>
      <c r="CS15" s="482"/>
      <c r="CT15" s="482"/>
      <c r="CU15" s="482"/>
      <c r="CV15" s="482"/>
      <c r="CW15" s="482"/>
      <c r="CX15" s="482"/>
      <c r="CY15" s="482"/>
      <c r="CZ15" s="482"/>
      <c r="DA15" s="482"/>
      <c r="DB15" s="482"/>
      <c r="DC15" s="482"/>
      <c r="DD15" s="482"/>
      <c r="DE15" s="482"/>
      <c r="DF15" s="482"/>
      <c r="DG15" s="482"/>
      <c r="DH15" s="482"/>
      <c r="DI15" s="482"/>
      <c r="DJ15" s="482"/>
      <c r="DK15" s="482"/>
      <c r="DL15" s="482"/>
      <c r="DM15" s="482"/>
      <c r="DN15" s="482"/>
      <c r="DO15" s="482"/>
      <c r="DP15" s="482"/>
      <c r="DQ15" s="482"/>
      <c r="DR15" s="482"/>
      <c r="DS15" s="482"/>
      <c r="DT15" s="482"/>
      <c r="DU15" s="482"/>
      <c r="DV15" s="482"/>
      <c r="DW15" s="482"/>
      <c r="DX15" s="482"/>
      <c r="DY15" s="482"/>
      <c r="DZ15" s="482"/>
      <c r="EA15" s="482"/>
      <c r="EB15" s="482"/>
      <c r="EC15" s="482"/>
      <c r="ED15" s="482"/>
      <c r="EE15" s="482"/>
      <c r="EF15" s="482"/>
      <c r="EG15" s="482"/>
      <c r="EH15" s="482"/>
      <c r="EI15" s="482"/>
      <c r="EJ15" s="482"/>
      <c r="EK15" s="482"/>
      <c r="EL15" s="482"/>
      <c r="EM15" s="482"/>
      <c r="EN15" s="482"/>
      <c r="EO15" s="482"/>
      <c r="EP15" s="482"/>
      <c r="EQ15" s="482"/>
      <c r="ER15" s="482"/>
      <c r="ES15" s="482"/>
      <c r="ET15" s="482"/>
      <c r="EU15" s="482"/>
      <c r="EV15" s="482"/>
      <c r="EW15" s="482"/>
      <c r="EX15" s="482"/>
      <c r="EY15" s="482"/>
      <c r="EZ15" s="482"/>
      <c r="FA15" s="482"/>
      <c r="FB15" s="482"/>
      <c r="FC15" s="482"/>
      <c r="FD15" s="482"/>
      <c r="FE15" s="482"/>
      <c r="FF15" s="482"/>
      <c r="FG15" s="482"/>
      <c r="FH15" s="482"/>
      <c r="FI15" s="482"/>
      <c r="FJ15" s="482"/>
      <c r="FK15" s="482"/>
      <c r="FL15" s="482"/>
      <c r="FM15" s="482"/>
      <c r="FN15" s="482"/>
      <c r="FO15" s="482"/>
      <c r="FP15" s="482"/>
      <c r="FQ15" s="482"/>
      <c r="FR15" s="482"/>
      <c r="FS15" s="482"/>
      <c r="FT15" s="482"/>
      <c r="FU15" s="482"/>
      <c r="FV15" s="482"/>
      <c r="FW15" s="482"/>
      <c r="FX15" s="482"/>
      <c r="FY15" s="482"/>
      <c r="FZ15" s="482"/>
      <c r="GA15" s="482"/>
      <c r="GB15" s="482"/>
      <c r="GC15" s="482"/>
      <c r="GD15" s="482"/>
      <c r="GE15" s="482"/>
      <c r="GF15" s="482"/>
      <c r="GG15" s="482"/>
      <c r="GH15" s="482"/>
      <c r="GI15" s="482"/>
      <c r="GJ15" s="482"/>
      <c r="GK15" s="482"/>
      <c r="GL15" s="482"/>
      <c r="GM15" s="482"/>
      <c r="GN15" s="482"/>
      <c r="GO15" s="482"/>
      <c r="GP15" s="482"/>
      <c r="GQ15" s="482"/>
      <c r="GR15" s="482"/>
      <c r="GS15" s="482"/>
      <c r="GT15" s="482"/>
      <c r="GU15" s="482"/>
      <c r="GV15" s="482"/>
      <c r="GW15" s="482"/>
      <c r="GX15" s="482"/>
      <c r="GY15" s="482"/>
      <c r="GZ15" s="482"/>
      <c r="HA15" s="482"/>
      <c r="HB15" s="482"/>
      <c r="HC15" s="482"/>
      <c r="HD15" s="482"/>
      <c r="HE15" s="482"/>
      <c r="HF15" s="482"/>
      <c r="HG15" s="482"/>
      <c r="HH15" s="482"/>
      <c r="HI15" s="482"/>
      <c r="HJ15" s="482"/>
      <c r="HK15" s="482"/>
      <c r="HL15" s="482"/>
      <c r="HM15" s="482"/>
      <c r="HN15" s="482"/>
      <c r="HO15" s="482"/>
      <c r="HP15" s="482"/>
      <c r="HQ15" s="482"/>
      <c r="HR15" s="482"/>
      <c r="HS15" s="482"/>
      <c r="HT15" s="482"/>
      <c r="HU15" s="482"/>
      <c r="HV15" s="482"/>
      <c r="HW15" s="482"/>
      <c r="HX15" s="482"/>
      <c r="HY15" s="482"/>
      <c r="HZ15" s="482"/>
      <c r="IA15" s="482"/>
      <c r="IB15" s="482"/>
      <c r="IC15" s="482"/>
      <c r="ID15" s="482"/>
      <c r="IE15" s="482"/>
      <c r="IF15" s="482"/>
      <c r="IG15" s="482"/>
      <c r="IH15" s="482"/>
      <c r="II15" s="482"/>
      <c r="IJ15" s="482"/>
      <c r="IK15" s="482"/>
      <c r="IL15" s="482"/>
      <c r="IM15" s="482"/>
      <c r="IN15" s="482"/>
      <c r="IO15" s="482"/>
      <c r="IP15" s="482"/>
      <c r="IQ15" s="482"/>
      <c r="IR15" s="482"/>
    </row>
    <row r="16" spans="1:252" ht="15" customHeight="1">
      <c r="A16" s="640" t="s">
        <v>855</v>
      </c>
      <c r="B16" s="641" t="s">
        <v>856</v>
      </c>
      <c r="C16" s="490"/>
      <c r="D16" s="489"/>
      <c r="E16" s="490"/>
      <c r="F16" s="642"/>
      <c r="G16" s="490">
        <v>27053549</v>
      </c>
      <c r="H16" s="489" t="s">
        <v>857</v>
      </c>
      <c r="I16" s="651" t="s">
        <v>858</v>
      </c>
      <c r="J16" s="642">
        <v>41933700</v>
      </c>
      <c r="K16" s="642">
        <v>41934</v>
      </c>
      <c r="L16" s="642">
        <v>41934</v>
      </c>
      <c r="M16" s="642">
        <v>41934</v>
      </c>
      <c r="N16" s="642">
        <v>41934</v>
      </c>
      <c r="O16" s="642">
        <v>41934</v>
      </c>
      <c r="P16" s="643">
        <v>41934</v>
      </c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482"/>
      <c r="AO16" s="482"/>
      <c r="AP16" s="482"/>
      <c r="AQ16" s="482"/>
      <c r="AR16" s="482"/>
      <c r="AS16" s="482"/>
      <c r="AT16" s="482"/>
      <c r="AU16" s="482"/>
      <c r="AV16" s="482"/>
      <c r="AW16" s="482"/>
      <c r="AX16" s="482"/>
      <c r="AY16" s="482"/>
      <c r="AZ16" s="482"/>
      <c r="BA16" s="482"/>
      <c r="BB16" s="482"/>
      <c r="BC16" s="482"/>
      <c r="BD16" s="482"/>
      <c r="BE16" s="482"/>
      <c r="BF16" s="482"/>
      <c r="BG16" s="482"/>
      <c r="BH16" s="482"/>
      <c r="BI16" s="482"/>
      <c r="BJ16" s="482"/>
      <c r="BK16" s="482"/>
      <c r="BL16" s="482"/>
      <c r="BM16" s="482"/>
      <c r="BN16" s="482"/>
      <c r="BO16" s="482"/>
      <c r="BP16" s="482"/>
      <c r="BQ16" s="482"/>
      <c r="BR16" s="482"/>
      <c r="BS16" s="482"/>
      <c r="BT16" s="482"/>
      <c r="BU16" s="482"/>
      <c r="BV16" s="482"/>
      <c r="BW16" s="482"/>
      <c r="BX16" s="482"/>
      <c r="BY16" s="482"/>
      <c r="BZ16" s="482"/>
      <c r="CA16" s="482"/>
      <c r="CB16" s="482"/>
      <c r="CC16" s="482"/>
      <c r="CD16" s="482"/>
      <c r="CE16" s="482"/>
      <c r="CF16" s="482"/>
      <c r="CG16" s="482"/>
      <c r="CH16" s="482"/>
      <c r="CI16" s="482"/>
      <c r="CJ16" s="482"/>
      <c r="CK16" s="482"/>
      <c r="CL16" s="482"/>
      <c r="CM16" s="482"/>
      <c r="CN16" s="482"/>
      <c r="CO16" s="482"/>
      <c r="CP16" s="482"/>
      <c r="CQ16" s="482"/>
      <c r="CR16" s="482"/>
      <c r="CS16" s="482"/>
      <c r="CT16" s="482"/>
      <c r="CU16" s="482"/>
      <c r="CV16" s="482"/>
      <c r="CW16" s="482"/>
      <c r="CX16" s="482"/>
      <c r="CY16" s="482"/>
      <c r="CZ16" s="482"/>
      <c r="DA16" s="482"/>
      <c r="DB16" s="482"/>
      <c r="DC16" s="482"/>
      <c r="DD16" s="482"/>
      <c r="DE16" s="482"/>
      <c r="DF16" s="482"/>
      <c r="DG16" s="482"/>
      <c r="DH16" s="482"/>
      <c r="DI16" s="482"/>
      <c r="DJ16" s="482"/>
      <c r="DK16" s="482"/>
      <c r="DL16" s="482"/>
      <c r="DM16" s="482"/>
      <c r="DN16" s="482"/>
      <c r="DO16" s="482"/>
      <c r="DP16" s="482"/>
      <c r="DQ16" s="482"/>
      <c r="DR16" s="482"/>
      <c r="DS16" s="482"/>
      <c r="DT16" s="482"/>
      <c r="DU16" s="482"/>
      <c r="DV16" s="482"/>
      <c r="DW16" s="482"/>
      <c r="DX16" s="482"/>
      <c r="DY16" s="482"/>
      <c r="DZ16" s="482"/>
      <c r="EA16" s="482"/>
      <c r="EB16" s="482"/>
      <c r="EC16" s="482"/>
      <c r="ED16" s="482"/>
      <c r="EE16" s="482"/>
      <c r="EF16" s="482"/>
      <c r="EG16" s="482"/>
      <c r="EH16" s="482"/>
      <c r="EI16" s="482"/>
      <c r="EJ16" s="482"/>
      <c r="EK16" s="482"/>
      <c r="EL16" s="482"/>
      <c r="EM16" s="482"/>
      <c r="EN16" s="482"/>
      <c r="EO16" s="482"/>
      <c r="EP16" s="482"/>
      <c r="EQ16" s="482"/>
      <c r="ER16" s="482"/>
      <c r="ES16" s="482"/>
      <c r="ET16" s="482"/>
      <c r="EU16" s="482"/>
      <c r="EV16" s="482"/>
      <c r="EW16" s="482"/>
      <c r="EX16" s="482"/>
      <c r="EY16" s="482"/>
      <c r="EZ16" s="482"/>
      <c r="FA16" s="482"/>
      <c r="FB16" s="482"/>
      <c r="FC16" s="482"/>
      <c r="FD16" s="482"/>
      <c r="FE16" s="482"/>
      <c r="FF16" s="482"/>
      <c r="FG16" s="482"/>
      <c r="FH16" s="482"/>
      <c r="FI16" s="482"/>
      <c r="FJ16" s="482"/>
      <c r="FK16" s="482"/>
      <c r="FL16" s="482"/>
      <c r="FM16" s="482"/>
      <c r="FN16" s="482"/>
      <c r="FO16" s="482"/>
      <c r="FP16" s="482"/>
      <c r="FQ16" s="482"/>
      <c r="FR16" s="482"/>
      <c r="FS16" s="482"/>
      <c r="FT16" s="482"/>
      <c r="FU16" s="482"/>
      <c r="FV16" s="482"/>
      <c r="FW16" s="482"/>
      <c r="FX16" s="482"/>
      <c r="FY16" s="482"/>
      <c r="FZ16" s="482"/>
      <c r="GA16" s="482"/>
      <c r="GB16" s="482"/>
      <c r="GC16" s="482"/>
      <c r="GD16" s="482"/>
      <c r="GE16" s="482"/>
      <c r="GF16" s="482"/>
      <c r="GG16" s="482"/>
      <c r="GH16" s="482"/>
      <c r="GI16" s="482"/>
      <c r="GJ16" s="482"/>
      <c r="GK16" s="482"/>
      <c r="GL16" s="482"/>
      <c r="GM16" s="482"/>
      <c r="GN16" s="482"/>
      <c r="GO16" s="482"/>
      <c r="GP16" s="482"/>
      <c r="GQ16" s="482"/>
      <c r="GR16" s="482"/>
      <c r="GS16" s="482"/>
      <c r="GT16" s="482"/>
      <c r="GU16" s="482"/>
      <c r="GV16" s="482"/>
      <c r="GW16" s="482"/>
      <c r="GX16" s="482"/>
      <c r="GY16" s="482"/>
      <c r="GZ16" s="482"/>
      <c r="HA16" s="482"/>
      <c r="HB16" s="482"/>
      <c r="HC16" s="482"/>
      <c r="HD16" s="482"/>
      <c r="HE16" s="482"/>
      <c r="HF16" s="482"/>
      <c r="HG16" s="482"/>
      <c r="HH16" s="482"/>
      <c r="HI16" s="482"/>
      <c r="HJ16" s="482"/>
      <c r="HK16" s="482"/>
      <c r="HL16" s="482"/>
      <c r="HM16" s="482"/>
      <c r="HN16" s="482"/>
      <c r="HO16" s="482"/>
      <c r="HP16" s="482"/>
      <c r="HQ16" s="482"/>
      <c r="HR16" s="482"/>
      <c r="HS16" s="482"/>
      <c r="HT16" s="482"/>
      <c r="HU16" s="482"/>
      <c r="HV16" s="482"/>
      <c r="HW16" s="482"/>
      <c r="HX16" s="482"/>
      <c r="HY16" s="482"/>
      <c r="HZ16" s="482"/>
      <c r="IA16" s="482"/>
      <c r="IB16" s="482"/>
      <c r="IC16" s="482"/>
      <c r="ID16" s="482"/>
      <c r="IE16" s="482"/>
      <c r="IF16" s="482"/>
      <c r="IG16" s="482"/>
      <c r="IH16" s="482"/>
      <c r="II16" s="482"/>
      <c r="IJ16" s="482"/>
      <c r="IK16" s="482"/>
      <c r="IL16" s="482"/>
      <c r="IM16" s="482"/>
      <c r="IN16" s="482"/>
      <c r="IO16" s="482"/>
      <c r="IP16" s="482"/>
      <c r="IQ16" s="482"/>
      <c r="IR16" s="482"/>
    </row>
    <row r="17" spans="1:252" ht="15.75" customHeight="1">
      <c r="A17" s="652" t="s">
        <v>859</v>
      </c>
      <c r="B17" s="653" t="s">
        <v>860</v>
      </c>
      <c r="C17" s="500"/>
      <c r="D17" s="501"/>
      <c r="E17" s="502"/>
      <c r="F17" s="654">
        <f>F7+F13+F14</f>
        <v>491214696</v>
      </c>
      <c r="G17" s="500"/>
      <c r="H17" s="501"/>
      <c r="I17" s="502"/>
      <c r="J17" s="654">
        <f aca="true" t="shared" si="1" ref="J17:P17">J7+J13+J14+J15+J16</f>
        <v>539928551</v>
      </c>
      <c r="K17" s="654">
        <f t="shared" si="1"/>
        <v>539928</v>
      </c>
      <c r="L17" s="654">
        <f t="shared" si="1"/>
        <v>539928</v>
      </c>
      <c r="M17" s="654">
        <f t="shared" si="1"/>
        <v>539928</v>
      </c>
      <c r="N17" s="654">
        <f t="shared" si="1"/>
        <v>539928</v>
      </c>
      <c r="O17" s="654">
        <f t="shared" si="1"/>
        <v>539928</v>
      </c>
      <c r="P17" s="655">
        <f t="shared" si="1"/>
        <v>539928</v>
      </c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482"/>
      <c r="BM17" s="482"/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2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2"/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2"/>
      <c r="DF17" s="482"/>
      <c r="DG17" s="482"/>
      <c r="DH17" s="482"/>
      <c r="DI17" s="482"/>
      <c r="DJ17" s="482"/>
      <c r="DK17" s="482"/>
      <c r="DL17" s="482"/>
      <c r="DM17" s="482"/>
      <c r="DN17" s="482"/>
      <c r="DO17" s="482"/>
      <c r="DP17" s="482"/>
      <c r="DQ17" s="482"/>
      <c r="DR17" s="482"/>
      <c r="DS17" s="482"/>
      <c r="DT17" s="482"/>
      <c r="DU17" s="482"/>
      <c r="DV17" s="482"/>
      <c r="DW17" s="482"/>
      <c r="DX17" s="482"/>
      <c r="DY17" s="482"/>
      <c r="DZ17" s="482"/>
      <c r="EA17" s="482"/>
      <c r="EB17" s="482"/>
      <c r="EC17" s="482"/>
      <c r="ED17" s="482"/>
      <c r="EE17" s="482"/>
      <c r="EF17" s="482"/>
      <c r="EG17" s="482"/>
      <c r="EH17" s="482"/>
      <c r="EI17" s="482"/>
      <c r="EJ17" s="482"/>
      <c r="EK17" s="482"/>
      <c r="EL17" s="482"/>
      <c r="EM17" s="482"/>
      <c r="EN17" s="482"/>
      <c r="EO17" s="482"/>
      <c r="EP17" s="482"/>
      <c r="EQ17" s="482"/>
      <c r="ER17" s="482"/>
      <c r="ES17" s="482"/>
      <c r="ET17" s="482"/>
      <c r="EU17" s="482"/>
      <c r="EV17" s="482"/>
      <c r="EW17" s="482"/>
      <c r="EX17" s="482"/>
      <c r="EY17" s="482"/>
      <c r="EZ17" s="482"/>
      <c r="FA17" s="482"/>
      <c r="FB17" s="482"/>
      <c r="FC17" s="482"/>
      <c r="FD17" s="482"/>
      <c r="FE17" s="482"/>
      <c r="FF17" s="482"/>
      <c r="FG17" s="482"/>
      <c r="FH17" s="482"/>
      <c r="FI17" s="482"/>
      <c r="FJ17" s="482"/>
      <c r="FK17" s="482"/>
      <c r="FL17" s="482"/>
      <c r="FM17" s="482"/>
      <c r="FN17" s="482"/>
      <c r="FO17" s="482"/>
      <c r="FP17" s="482"/>
      <c r="FQ17" s="482"/>
      <c r="FR17" s="482"/>
      <c r="FS17" s="482"/>
      <c r="FT17" s="482"/>
      <c r="FU17" s="482"/>
      <c r="FV17" s="482"/>
      <c r="FW17" s="482"/>
      <c r="FX17" s="482"/>
      <c r="FY17" s="482"/>
      <c r="FZ17" s="482"/>
      <c r="GA17" s="482"/>
      <c r="GB17" s="482"/>
      <c r="GC17" s="482"/>
      <c r="GD17" s="482"/>
      <c r="GE17" s="482"/>
      <c r="GF17" s="482"/>
      <c r="GG17" s="482"/>
      <c r="GH17" s="482"/>
      <c r="GI17" s="482"/>
      <c r="GJ17" s="482"/>
      <c r="GK17" s="482"/>
      <c r="GL17" s="482"/>
      <c r="GM17" s="482"/>
      <c r="GN17" s="482"/>
      <c r="GO17" s="482"/>
      <c r="GP17" s="482"/>
      <c r="GQ17" s="482"/>
      <c r="GR17" s="482"/>
      <c r="GS17" s="482"/>
      <c r="GT17" s="482"/>
      <c r="GU17" s="482"/>
      <c r="GV17" s="482"/>
      <c r="GW17" s="482"/>
      <c r="GX17" s="482"/>
      <c r="GY17" s="482"/>
      <c r="GZ17" s="482"/>
      <c r="HA17" s="482"/>
      <c r="HB17" s="482"/>
      <c r="HC17" s="482"/>
      <c r="HD17" s="482"/>
      <c r="HE17" s="482"/>
      <c r="HF17" s="482"/>
      <c r="HG17" s="482"/>
      <c r="HH17" s="482"/>
      <c r="HI17" s="482"/>
      <c r="HJ17" s="482"/>
      <c r="HK17" s="482"/>
      <c r="HL17" s="482"/>
      <c r="HM17" s="482"/>
      <c r="HN17" s="482"/>
      <c r="HO17" s="482"/>
      <c r="HP17" s="482"/>
      <c r="HQ17" s="482"/>
      <c r="HR17" s="482"/>
      <c r="HS17" s="482"/>
      <c r="HT17" s="482"/>
      <c r="HU17" s="482"/>
      <c r="HV17" s="482"/>
      <c r="HW17" s="482"/>
      <c r="HX17" s="482"/>
      <c r="HY17" s="482"/>
      <c r="HZ17" s="482"/>
      <c r="IA17" s="482"/>
      <c r="IB17" s="482"/>
      <c r="IC17" s="482"/>
      <c r="ID17" s="482"/>
      <c r="IE17" s="482"/>
      <c r="IF17" s="482"/>
      <c r="IG17" s="482"/>
      <c r="IH17" s="482"/>
      <c r="II17" s="482"/>
      <c r="IJ17" s="482"/>
      <c r="IK17" s="482"/>
      <c r="IL17" s="482"/>
      <c r="IM17" s="482"/>
      <c r="IN17" s="482"/>
      <c r="IO17" s="482"/>
      <c r="IP17" s="482"/>
      <c r="IQ17" s="482"/>
      <c r="IR17" s="482"/>
    </row>
    <row r="18" spans="1:252" ht="15.75" customHeight="1">
      <c r="A18" s="652" t="s">
        <v>861</v>
      </c>
      <c r="B18" s="653" t="s">
        <v>862</v>
      </c>
      <c r="C18" s="500">
        <v>317</v>
      </c>
      <c r="D18" s="501" t="s">
        <v>863</v>
      </c>
      <c r="E18" s="502" t="s">
        <v>864</v>
      </c>
      <c r="F18" s="654">
        <f>C18*100</f>
        <v>31700</v>
      </c>
      <c r="G18" s="500">
        <v>317</v>
      </c>
      <c r="H18" s="501" t="s">
        <v>863</v>
      </c>
      <c r="I18" s="502" t="s">
        <v>864</v>
      </c>
      <c r="J18" s="654">
        <v>31700</v>
      </c>
      <c r="K18" s="654">
        <v>32</v>
      </c>
      <c r="L18" s="654">
        <v>32</v>
      </c>
      <c r="M18" s="654">
        <v>32</v>
      </c>
      <c r="N18" s="654">
        <v>32</v>
      </c>
      <c r="O18" s="654">
        <v>32</v>
      </c>
      <c r="P18" s="655">
        <v>32</v>
      </c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  <c r="AR18" s="482"/>
      <c r="AS18" s="482"/>
      <c r="AT18" s="482"/>
      <c r="AU18" s="482"/>
      <c r="AV18" s="482"/>
      <c r="AW18" s="482"/>
      <c r="AX18" s="482"/>
      <c r="AY18" s="482"/>
      <c r="AZ18" s="482"/>
      <c r="BA18" s="482"/>
      <c r="BB18" s="482"/>
      <c r="BC18" s="482"/>
      <c r="BD18" s="482"/>
      <c r="BE18" s="482"/>
      <c r="BF18" s="482"/>
      <c r="BG18" s="482"/>
      <c r="BH18" s="482"/>
      <c r="BI18" s="482"/>
      <c r="BJ18" s="482"/>
      <c r="BK18" s="482"/>
      <c r="BL18" s="482"/>
      <c r="BM18" s="482"/>
      <c r="BN18" s="482"/>
      <c r="BO18" s="482"/>
      <c r="BP18" s="482"/>
      <c r="BQ18" s="482"/>
      <c r="BR18" s="482"/>
      <c r="BS18" s="482"/>
      <c r="BT18" s="482"/>
      <c r="BU18" s="482"/>
      <c r="BV18" s="482"/>
      <c r="BW18" s="482"/>
      <c r="BX18" s="482"/>
      <c r="BY18" s="482"/>
      <c r="BZ18" s="482"/>
      <c r="CA18" s="482"/>
      <c r="CB18" s="482"/>
      <c r="CC18" s="482"/>
      <c r="CD18" s="482"/>
      <c r="CE18" s="482"/>
      <c r="CF18" s="482"/>
      <c r="CG18" s="482"/>
      <c r="CH18" s="482"/>
      <c r="CI18" s="482"/>
      <c r="CJ18" s="482"/>
      <c r="CK18" s="482"/>
      <c r="CL18" s="482"/>
      <c r="CM18" s="482"/>
      <c r="CN18" s="482"/>
      <c r="CO18" s="482"/>
      <c r="CP18" s="482"/>
      <c r="CQ18" s="482"/>
      <c r="CR18" s="482"/>
      <c r="CS18" s="482"/>
      <c r="CT18" s="482"/>
      <c r="CU18" s="482"/>
      <c r="CV18" s="482"/>
      <c r="CW18" s="482"/>
      <c r="CX18" s="482"/>
      <c r="CY18" s="482"/>
      <c r="CZ18" s="482"/>
      <c r="DA18" s="482"/>
      <c r="DB18" s="482"/>
      <c r="DC18" s="482"/>
      <c r="DD18" s="482"/>
      <c r="DE18" s="482"/>
      <c r="DF18" s="482"/>
      <c r="DG18" s="482"/>
      <c r="DH18" s="482"/>
      <c r="DI18" s="482"/>
      <c r="DJ18" s="482"/>
      <c r="DK18" s="482"/>
      <c r="DL18" s="482"/>
      <c r="DM18" s="482"/>
      <c r="DN18" s="482"/>
      <c r="DO18" s="482"/>
      <c r="DP18" s="482"/>
      <c r="DQ18" s="482"/>
      <c r="DR18" s="482"/>
      <c r="DS18" s="482"/>
      <c r="DT18" s="482"/>
      <c r="DU18" s="482"/>
      <c r="DV18" s="482"/>
      <c r="DW18" s="482"/>
      <c r="DX18" s="482"/>
      <c r="DY18" s="482"/>
      <c r="DZ18" s="482"/>
      <c r="EA18" s="482"/>
      <c r="EB18" s="482"/>
      <c r="EC18" s="482"/>
      <c r="ED18" s="482"/>
      <c r="EE18" s="482"/>
      <c r="EF18" s="482"/>
      <c r="EG18" s="482"/>
      <c r="EH18" s="482"/>
      <c r="EI18" s="482"/>
      <c r="EJ18" s="482"/>
      <c r="EK18" s="482"/>
      <c r="EL18" s="482"/>
      <c r="EM18" s="482"/>
      <c r="EN18" s="482"/>
      <c r="EO18" s="482"/>
      <c r="EP18" s="482"/>
      <c r="EQ18" s="482"/>
      <c r="ER18" s="482"/>
      <c r="ES18" s="482"/>
      <c r="ET18" s="482"/>
      <c r="EU18" s="482"/>
      <c r="EV18" s="482"/>
      <c r="EW18" s="482"/>
      <c r="EX18" s="482"/>
      <c r="EY18" s="482"/>
      <c r="EZ18" s="482"/>
      <c r="FA18" s="482"/>
      <c r="FB18" s="482"/>
      <c r="FC18" s="482"/>
      <c r="FD18" s="482"/>
      <c r="FE18" s="482"/>
      <c r="FF18" s="482"/>
      <c r="FG18" s="482"/>
      <c r="FH18" s="482"/>
      <c r="FI18" s="482"/>
      <c r="FJ18" s="482"/>
      <c r="FK18" s="482"/>
      <c r="FL18" s="482"/>
      <c r="FM18" s="482"/>
      <c r="FN18" s="482"/>
      <c r="FO18" s="482"/>
      <c r="FP18" s="482"/>
      <c r="FQ18" s="482"/>
      <c r="FR18" s="482"/>
      <c r="FS18" s="482"/>
      <c r="FT18" s="482"/>
      <c r="FU18" s="482"/>
      <c r="FV18" s="482"/>
      <c r="FW18" s="482"/>
      <c r="FX18" s="482"/>
      <c r="FY18" s="482"/>
      <c r="FZ18" s="482"/>
      <c r="GA18" s="482"/>
      <c r="GB18" s="482"/>
      <c r="GC18" s="482"/>
      <c r="GD18" s="482"/>
      <c r="GE18" s="482"/>
      <c r="GF18" s="482"/>
      <c r="GG18" s="482"/>
      <c r="GH18" s="482"/>
      <c r="GI18" s="482"/>
      <c r="GJ18" s="482"/>
      <c r="GK18" s="482"/>
      <c r="GL18" s="482"/>
      <c r="GM18" s="482"/>
      <c r="GN18" s="482"/>
      <c r="GO18" s="482"/>
      <c r="GP18" s="482"/>
      <c r="GQ18" s="482"/>
      <c r="GR18" s="482"/>
      <c r="GS18" s="482"/>
      <c r="GT18" s="482"/>
      <c r="GU18" s="482"/>
      <c r="GV18" s="482"/>
      <c r="GW18" s="482"/>
      <c r="GX18" s="482"/>
      <c r="GY18" s="482"/>
      <c r="GZ18" s="482"/>
      <c r="HA18" s="482"/>
      <c r="HB18" s="482"/>
      <c r="HC18" s="482"/>
      <c r="HD18" s="482"/>
      <c r="HE18" s="482"/>
      <c r="HF18" s="482"/>
      <c r="HG18" s="482"/>
      <c r="HH18" s="482"/>
      <c r="HI18" s="482"/>
      <c r="HJ18" s="482"/>
      <c r="HK18" s="482"/>
      <c r="HL18" s="482"/>
      <c r="HM18" s="482"/>
      <c r="HN18" s="482"/>
      <c r="HO18" s="482"/>
      <c r="HP18" s="482"/>
      <c r="HQ18" s="482"/>
      <c r="HR18" s="482"/>
      <c r="HS18" s="482"/>
      <c r="HT18" s="482"/>
      <c r="HU18" s="482"/>
      <c r="HV18" s="482"/>
      <c r="HW18" s="482"/>
      <c r="HX18" s="482"/>
      <c r="HY18" s="482"/>
      <c r="HZ18" s="482"/>
      <c r="IA18" s="482"/>
      <c r="IB18" s="482"/>
      <c r="IC18" s="482"/>
      <c r="ID18" s="482"/>
      <c r="IE18" s="482"/>
      <c r="IF18" s="482"/>
      <c r="IG18" s="482"/>
      <c r="IH18" s="482"/>
      <c r="II18" s="482"/>
      <c r="IJ18" s="482"/>
      <c r="IK18" s="482"/>
      <c r="IL18" s="482"/>
      <c r="IM18" s="482"/>
      <c r="IN18" s="482"/>
      <c r="IO18" s="482"/>
      <c r="IP18" s="482"/>
      <c r="IQ18" s="482"/>
      <c r="IR18" s="482"/>
    </row>
    <row r="19" spans="1:252" ht="15.75" customHeight="1">
      <c r="A19" s="652" t="s">
        <v>865</v>
      </c>
      <c r="B19" s="653" t="s">
        <v>866</v>
      </c>
      <c r="C19" s="500"/>
      <c r="D19" s="501"/>
      <c r="E19" s="502"/>
      <c r="F19" s="654"/>
      <c r="G19" s="500"/>
      <c r="H19" s="501"/>
      <c r="I19" s="502"/>
      <c r="J19" s="654"/>
      <c r="K19" s="654">
        <v>0</v>
      </c>
      <c r="L19" s="654"/>
      <c r="M19" s="654">
        <v>0</v>
      </c>
      <c r="N19" s="654">
        <f>889+946</f>
        <v>1835</v>
      </c>
      <c r="O19" s="654">
        <f>889+946</f>
        <v>1835</v>
      </c>
      <c r="P19" s="655">
        <v>1835</v>
      </c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  <c r="AV19" s="482"/>
      <c r="AW19" s="482"/>
      <c r="AX19" s="482"/>
      <c r="AY19" s="482"/>
      <c r="AZ19" s="482"/>
      <c r="BA19" s="482"/>
      <c r="BB19" s="482"/>
      <c r="BC19" s="482"/>
      <c r="BD19" s="482"/>
      <c r="BE19" s="482"/>
      <c r="BF19" s="482"/>
      <c r="BG19" s="482"/>
      <c r="BH19" s="482"/>
      <c r="BI19" s="482"/>
      <c r="BJ19" s="482"/>
      <c r="BK19" s="482"/>
      <c r="BL19" s="482"/>
      <c r="BM19" s="482"/>
      <c r="BN19" s="482"/>
      <c r="BO19" s="482"/>
      <c r="BP19" s="482"/>
      <c r="BQ19" s="482"/>
      <c r="BR19" s="482"/>
      <c r="BS19" s="482"/>
      <c r="BT19" s="482"/>
      <c r="BU19" s="482"/>
      <c r="BV19" s="482"/>
      <c r="BW19" s="482"/>
      <c r="BX19" s="482"/>
      <c r="BY19" s="482"/>
      <c r="BZ19" s="482"/>
      <c r="CA19" s="482"/>
      <c r="CB19" s="482"/>
      <c r="CC19" s="482"/>
      <c r="CD19" s="482"/>
      <c r="CE19" s="482"/>
      <c r="CF19" s="482"/>
      <c r="CG19" s="482"/>
      <c r="CH19" s="482"/>
      <c r="CI19" s="482"/>
      <c r="CJ19" s="482"/>
      <c r="CK19" s="482"/>
      <c r="CL19" s="482"/>
      <c r="CM19" s="482"/>
      <c r="CN19" s="482"/>
      <c r="CO19" s="482"/>
      <c r="CP19" s="482"/>
      <c r="CQ19" s="482"/>
      <c r="CR19" s="482"/>
      <c r="CS19" s="482"/>
      <c r="CT19" s="482"/>
      <c r="CU19" s="482"/>
      <c r="CV19" s="482"/>
      <c r="CW19" s="482"/>
      <c r="CX19" s="482"/>
      <c r="CY19" s="482"/>
      <c r="CZ19" s="482"/>
      <c r="DA19" s="482"/>
      <c r="DB19" s="482"/>
      <c r="DC19" s="482"/>
      <c r="DD19" s="482"/>
      <c r="DE19" s="482"/>
      <c r="DF19" s="482"/>
      <c r="DG19" s="482"/>
      <c r="DH19" s="482"/>
      <c r="DI19" s="482"/>
      <c r="DJ19" s="482"/>
      <c r="DK19" s="482"/>
      <c r="DL19" s="482"/>
      <c r="DM19" s="482"/>
      <c r="DN19" s="482"/>
      <c r="DO19" s="482"/>
      <c r="DP19" s="482"/>
      <c r="DQ19" s="482"/>
      <c r="DR19" s="482"/>
      <c r="DS19" s="482"/>
      <c r="DT19" s="482"/>
      <c r="DU19" s="482"/>
      <c r="DV19" s="482"/>
      <c r="DW19" s="482"/>
      <c r="DX19" s="482"/>
      <c r="DY19" s="482"/>
      <c r="DZ19" s="482"/>
      <c r="EA19" s="482"/>
      <c r="EB19" s="482"/>
      <c r="EC19" s="482"/>
      <c r="ED19" s="482"/>
      <c r="EE19" s="482"/>
      <c r="EF19" s="482"/>
      <c r="EG19" s="482"/>
      <c r="EH19" s="482"/>
      <c r="EI19" s="482"/>
      <c r="EJ19" s="482"/>
      <c r="EK19" s="482"/>
      <c r="EL19" s="482"/>
      <c r="EM19" s="482"/>
      <c r="EN19" s="482"/>
      <c r="EO19" s="482"/>
      <c r="EP19" s="482"/>
      <c r="EQ19" s="482"/>
      <c r="ER19" s="482"/>
      <c r="ES19" s="482"/>
      <c r="ET19" s="482"/>
      <c r="EU19" s="482"/>
      <c r="EV19" s="482"/>
      <c r="EW19" s="482"/>
      <c r="EX19" s="482"/>
      <c r="EY19" s="482"/>
      <c r="EZ19" s="482"/>
      <c r="FA19" s="482"/>
      <c r="FB19" s="482"/>
      <c r="FC19" s="482"/>
      <c r="FD19" s="482"/>
      <c r="FE19" s="482"/>
      <c r="FF19" s="482"/>
      <c r="FG19" s="482"/>
      <c r="FH19" s="482"/>
      <c r="FI19" s="482"/>
      <c r="FJ19" s="482"/>
      <c r="FK19" s="482"/>
      <c r="FL19" s="482"/>
      <c r="FM19" s="482"/>
      <c r="FN19" s="482"/>
      <c r="FO19" s="482"/>
      <c r="FP19" s="482"/>
      <c r="FQ19" s="482"/>
      <c r="FR19" s="482"/>
      <c r="FS19" s="482"/>
      <c r="FT19" s="482"/>
      <c r="FU19" s="482"/>
      <c r="FV19" s="482"/>
      <c r="FW19" s="482"/>
      <c r="FX19" s="482"/>
      <c r="FY19" s="482"/>
      <c r="FZ19" s="482"/>
      <c r="GA19" s="482"/>
      <c r="GB19" s="482"/>
      <c r="GC19" s="482"/>
      <c r="GD19" s="482"/>
      <c r="GE19" s="482"/>
      <c r="GF19" s="482"/>
      <c r="GG19" s="482"/>
      <c r="GH19" s="482"/>
      <c r="GI19" s="482"/>
      <c r="GJ19" s="482"/>
      <c r="GK19" s="482"/>
      <c r="GL19" s="482"/>
      <c r="GM19" s="482"/>
      <c r="GN19" s="482"/>
      <c r="GO19" s="482"/>
      <c r="GP19" s="482"/>
      <c r="GQ19" s="482"/>
      <c r="GR19" s="482"/>
      <c r="GS19" s="482"/>
      <c r="GT19" s="482"/>
      <c r="GU19" s="482"/>
      <c r="GV19" s="482"/>
      <c r="GW19" s="482"/>
      <c r="GX19" s="482"/>
      <c r="GY19" s="482"/>
      <c r="GZ19" s="482"/>
      <c r="HA19" s="482"/>
      <c r="HB19" s="482"/>
      <c r="HC19" s="482"/>
      <c r="HD19" s="482"/>
      <c r="HE19" s="482"/>
      <c r="HF19" s="482"/>
      <c r="HG19" s="482"/>
      <c r="HH19" s="482"/>
      <c r="HI19" s="482"/>
      <c r="HJ19" s="482"/>
      <c r="HK19" s="482"/>
      <c r="HL19" s="482"/>
      <c r="HM19" s="482"/>
      <c r="HN19" s="482"/>
      <c r="HO19" s="482"/>
      <c r="HP19" s="482"/>
      <c r="HQ19" s="482"/>
      <c r="HR19" s="482"/>
      <c r="HS19" s="482"/>
      <c r="HT19" s="482"/>
      <c r="HU19" s="482"/>
      <c r="HV19" s="482"/>
      <c r="HW19" s="482"/>
      <c r="HX19" s="482"/>
      <c r="HY19" s="482"/>
      <c r="HZ19" s="482"/>
      <c r="IA19" s="482"/>
      <c r="IB19" s="482"/>
      <c r="IC19" s="482"/>
      <c r="ID19" s="482"/>
      <c r="IE19" s="482"/>
      <c r="IF19" s="482"/>
      <c r="IG19" s="482"/>
      <c r="IH19" s="482"/>
      <c r="II19" s="482"/>
      <c r="IJ19" s="482"/>
      <c r="IK19" s="482"/>
      <c r="IL19" s="482"/>
      <c r="IM19" s="482"/>
      <c r="IN19" s="482"/>
      <c r="IO19" s="482"/>
      <c r="IP19" s="482"/>
      <c r="IQ19" s="482"/>
      <c r="IR19" s="482"/>
    </row>
    <row r="20" spans="1:252" ht="15" customHeight="1">
      <c r="A20" s="652" t="s">
        <v>828</v>
      </c>
      <c r="B20" s="653"/>
      <c r="C20" s="500"/>
      <c r="D20" s="501"/>
      <c r="E20" s="502"/>
      <c r="F20" s="654">
        <f>SUM(F17:F18)</f>
        <v>491246396</v>
      </c>
      <c r="G20" s="500"/>
      <c r="H20" s="501"/>
      <c r="I20" s="502"/>
      <c r="J20" s="654">
        <f>SUM(J17:J18)</f>
        <v>539960251</v>
      </c>
      <c r="K20" s="654">
        <f>SUM(K17:K18)</f>
        <v>539960</v>
      </c>
      <c r="L20" s="654">
        <f>SUM(L17:L18)</f>
        <v>539960</v>
      </c>
      <c r="M20" s="654">
        <f>SUM(M17:M18)</f>
        <v>539960</v>
      </c>
      <c r="N20" s="654">
        <f>SUM(N17:N19)</f>
        <v>541795</v>
      </c>
      <c r="O20" s="654">
        <f>SUM(O17:O19)</f>
        <v>541795</v>
      </c>
      <c r="P20" s="655">
        <f>SUM(P17:P19)</f>
        <v>541795</v>
      </c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82"/>
      <c r="AP20" s="482"/>
      <c r="AQ20" s="482"/>
      <c r="AR20" s="482"/>
      <c r="AS20" s="482"/>
      <c r="AT20" s="482"/>
      <c r="AU20" s="482"/>
      <c r="AV20" s="482"/>
      <c r="AW20" s="482"/>
      <c r="AX20" s="482"/>
      <c r="AY20" s="482"/>
      <c r="AZ20" s="482"/>
      <c r="BA20" s="482"/>
      <c r="BB20" s="482"/>
      <c r="BC20" s="482"/>
      <c r="BD20" s="482"/>
      <c r="BE20" s="482"/>
      <c r="BF20" s="482"/>
      <c r="BG20" s="482"/>
      <c r="BH20" s="482"/>
      <c r="BI20" s="482"/>
      <c r="BJ20" s="482"/>
      <c r="BK20" s="482"/>
      <c r="BL20" s="482"/>
      <c r="BM20" s="482"/>
      <c r="BN20" s="482"/>
      <c r="BO20" s="482"/>
      <c r="BP20" s="482"/>
      <c r="BQ20" s="482"/>
      <c r="BR20" s="482"/>
      <c r="BS20" s="482"/>
      <c r="BT20" s="482"/>
      <c r="BU20" s="482"/>
      <c r="BV20" s="482"/>
      <c r="BW20" s="482"/>
      <c r="BX20" s="482"/>
      <c r="BY20" s="482"/>
      <c r="BZ20" s="482"/>
      <c r="CA20" s="482"/>
      <c r="CB20" s="482"/>
      <c r="CC20" s="482"/>
      <c r="CD20" s="482"/>
      <c r="CE20" s="482"/>
      <c r="CF20" s="482"/>
      <c r="CG20" s="482"/>
      <c r="CH20" s="482"/>
      <c r="CI20" s="482"/>
      <c r="CJ20" s="482"/>
      <c r="CK20" s="482"/>
      <c r="CL20" s="482"/>
      <c r="CM20" s="482"/>
      <c r="CN20" s="482"/>
      <c r="CO20" s="482"/>
      <c r="CP20" s="482"/>
      <c r="CQ20" s="482"/>
      <c r="CR20" s="482"/>
      <c r="CS20" s="482"/>
      <c r="CT20" s="482"/>
      <c r="CU20" s="482"/>
      <c r="CV20" s="482"/>
      <c r="CW20" s="482"/>
      <c r="CX20" s="482"/>
      <c r="CY20" s="482"/>
      <c r="CZ20" s="482"/>
      <c r="DA20" s="482"/>
      <c r="DB20" s="482"/>
      <c r="DC20" s="482"/>
      <c r="DD20" s="482"/>
      <c r="DE20" s="482"/>
      <c r="DF20" s="482"/>
      <c r="DG20" s="482"/>
      <c r="DH20" s="482"/>
      <c r="DI20" s="482"/>
      <c r="DJ20" s="482"/>
      <c r="DK20" s="482"/>
      <c r="DL20" s="482"/>
      <c r="DM20" s="482"/>
      <c r="DN20" s="482"/>
      <c r="DO20" s="482"/>
      <c r="DP20" s="482"/>
      <c r="DQ20" s="482"/>
      <c r="DR20" s="482"/>
      <c r="DS20" s="482"/>
      <c r="DT20" s="482"/>
      <c r="DU20" s="482"/>
      <c r="DV20" s="482"/>
      <c r="DW20" s="482"/>
      <c r="DX20" s="482"/>
      <c r="DY20" s="482"/>
      <c r="DZ20" s="482"/>
      <c r="EA20" s="482"/>
      <c r="EB20" s="482"/>
      <c r="EC20" s="482"/>
      <c r="ED20" s="482"/>
      <c r="EE20" s="482"/>
      <c r="EF20" s="482"/>
      <c r="EG20" s="482"/>
      <c r="EH20" s="482"/>
      <c r="EI20" s="482"/>
      <c r="EJ20" s="482"/>
      <c r="EK20" s="482"/>
      <c r="EL20" s="482"/>
      <c r="EM20" s="482"/>
      <c r="EN20" s="482"/>
      <c r="EO20" s="482"/>
      <c r="EP20" s="482"/>
      <c r="EQ20" s="482"/>
      <c r="ER20" s="482"/>
      <c r="ES20" s="482"/>
      <c r="ET20" s="482"/>
      <c r="EU20" s="482"/>
      <c r="EV20" s="482"/>
      <c r="EW20" s="482"/>
      <c r="EX20" s="482"/>
      <c r="EY20" s="482"/>
      <c r="EZ20" s="482"/>
      <c r="FA20" s="482"/>
      <c r="FB20" s="482"/>
      <c r="FC20" s="482"/>
      <c r="FD20" s="482"/>
      <c r="FE20" s="482"/>
      <c r="FF20" s="482"/>
      <c r="FG20" s="482"/>
      <c r="FH20" s="482"/>
      <c r="FI20" s="482"/>
      <c r="FJ20" s="482"/>
      <c r="FK20" s="482"/>
      <c r="FL20" s="482"/>
      <c r="FM20" s="482"/>
      <c r="FN20" s="482"/>
      <c r="FO20" s="482"/>
      <c r="FP20" s="482"/>
      <c r="FQ20" s="482"/>
      <c r="FR20" s="482"/>
      <c r="FS20" s="482"/>
      <c r="FT20" s="482"/>
      <c r="FU20" s="482"/>
      <c r="FV20" s="482"/>
      <c r="FW20" s="482"/>
      <c r="FX20" s="482"/>
      <c r="FY20" s="482"/>
      <c r="FZ20" s="482"/>
      <c r="GA20" s="482"/>
      <c r="GB20" s="482"/>
      <c r="GC20" s="482"/>
      <c r="GD20" s="482"/>
      <c r="GE20" s="482"/>
      <c r="GF20" s="482"/>
      <c r="GG20" s="482"/>
      <c r="GH20" s="482"/>
      <c r="GI20" s="482"/>
      <c r="GJ20" s="482"/>
      <c r="GK20" s="482"/>
      <c r="GL20" s="482"/>
      <c r="GM20" s="482"/>
      <c r="GN20" s="482"/>
      <c r="GO20" s="482"/>
      <c r="GP20" s="482"/>
      <c r="GQ20" s="482"/>
      <c r="GR20" s="482"/>
      <c r="GS20" s="482"/>
      <c r="GT20" s="482"/>
      <c r="GU20" s="482"/>
      <c r="GV20" s="482"/>
      <c r="GW20" s="482"/>
      <c r="GX20" s="482"/>
      <c r="GY20" s="482"/>
      <c r="GZ20" s="482"/>
      <c r="HA20" s="482"/>
      <c r="HB20" s="482"/>
      <c r="HC20" s="482"/>
      <c r="HD20" s="482"/>
      <c r="HE20" s="482"/>
      <c r="HF20" s="482"/>
      <c r="HG20" s="482"/>
      <c r="HH20" s="482"/>
      <c r="HI20" s="482"/>
      <c r="HJ20" s="482"/>
      <c r="HK20" s="482"/>
      <c r="HL20" s="482"/>
      <c r="HM20" s="482"/>
      <c r="HN20" s="482"/>
      <c r="HO20" s="482"/>
      <c r="HP20" s="482"/>
      <c r="HQ20" s="482"/>
      <c r="HR20" s="482"/>
      <c r="HS20" s="482"/>
      <c r="HT20" s="482"/>
      <c r="HU20" s="482"/>
      <c r="HV20" s="482"/>
      <c r="HW20" s="482"/>
      <c r="HX20" s="482"/>
      <c r="HY20" s="482"/>
      <c r="HZ20" s="482"/>
      <c r="IA20" s="482"/>
      <c r="IB20" s="482"/>
      <c r="IC20" s="482"/>
      <c r="ID20" s="482"/>
      <c r="IE20" s="482"/>
      <c r="IF20" s="482"/>
      <c r="IG20" s="482"/>
      <c r="IH20" s="482"/>
      <c r="II20" s="482"/>
      <c r="IJ20" s="482"/>
      <c r="IK20" s="482"/>
      <c r="IL20" s="482"/>
      <c r="IM20" s="482"/>
      <c r="IN20" s="482"/>
      <c r="IO20" s="482"/>
      <c r="IP20" s="482"/>
      <c r="IQ20" s="482"/>
      <c r="IR20" s="482"/>
    </row>
    <row r="21" spans="1:252" ht="15" customHeight="1">
      <c r="A21" s="640" t="s">
        <v>867</v>
      </c>
      <c r="B21" s="656" t="s">
        <v>868</v>
      </c>
      <c r="C21" s="503"/>
      <c r="D21" s="489"/>
      <c r="E21" s="490"/>
      <c r="F21" s="642"/>
      <c r="G21" s="503"/>
      <c r="H21" s="489"/>
      <c r="I21" s="490"/>
      <c r="J21" s="642"/>
      <c r="K21" s="642"/>
      <c r="L21" s="642"/>
      <c r="M21" s="642"/>
      <c r="N21" s="642"/>
      <c r="O21" s="642"/>
      <c r="P21" s="643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  <c r="AU21" s="482"/>
      <c r="AV21" s="482"/>
      <c r="AW21" s="482"/>
      <c r="AX21" s="482"/>
      <c r="AY21" s="482"/>
      <c r="AZ21" s="482"/>
      <c r="BA21" s="482"/>
      <c r="BB21" s="482"/>
      <c r="BC21" s="482"/>
      <c r="BD21" s="482"/>
      <c r="BE21" s="482"/>
      <c r="BF21" s="482"/>
      <c r="BG21" s="482"/>
      <c r="BH21" s="482"/>
      <c r="BI21" s="482"/>
      <c r="BJ21" s="482"/>
      <c r="BK21" s="482"/>
      <c r="BL21" s="482"/>
      <c r="BM21" s="482"/>
      <c r="BN21" s="482"/>
      <c r="BO21" s="482"/>
      <c r="BP21" s="482"/>
      <c r="BQ21" s="482"/>
      <c r="BR21" s="482"/>
      <c r="BS21" s="482"/>
      <c r="BT21" s="482"/>
      <c r="BU21" s="482"/>
      <c r="BV21" s="482"/>
      <c r="BW21" s="482"/>
      <c r="BX21" s="482"/>
      <c r="BY21" s="482"/>
      <c r="BZ21" s="482"/>
      <c r="CA21" s="482"/>
      <c r="CB21" s="482"/>
      <c r="CC21" s="482"/>
      <c r="CD21" s="482"/>
      <c r="CE21" s="482"/>
      <c r="CF21" s="482"/>
      <c r="CG21" s="482"/>
      <c r="CH21" s="482"/>
      <c r="CI21" s="482"/>
      <c r="CJ21" s="482"/>
      <c r="CK21" s="482"/>
      <c r="CL21" s="482"/>
      <c r="CM21" s="482"/>
      <c r="CN21" s="482"/>
      <c r="CO21" s="482"/>
      <c r="CP21" s="482"/>
      <c r="CQ21" s="482"/>
      <c r="CR21" s="482"/>
      <c r="CS21" s="482"/>
      <c r="CT21" s="482"/>
      <c r="CU21" s="482"/>
      <c r="CV21" s="482"/>
      <c r="CW21" s="482"/>
      <c r="CX21" s="482"/>
      <c r="CY21" s="482"/>
      <c r="CZ21" s="482"/>
      <c r="DA21" s="482"/>
      <c r="DB21" s="482"/>
      <c r="DC21" s="482"/>
      <c r="DD21" s="482"/>
      <c r="DE21" s="482"/>
      <c r="DF21" s="482"/>
      <c r="DG21" s="482"/>
      <c r="DH21" s="482"/>
      <c r="DI21" s="482"/>
      <c r="DJ21" s="482"/>
      <c r="DK21" s="482"/>
      <c r="DL21" s="482"/>
      <c r="DM21" s="482"/>
      <c r="DN21" s="482"/>
      <c r="DO21" s="482"/>
      <c r="DP21" s="482"/>
      <c r="DQ21" s="482"/>
      <c r="DR21" s="482"/>
      <c r="DS21" s="482"/>
      <c r="DT21" s="482"/>
      <c r="DU21" s="482"/>
      <c r="DV21" s="482"/>
      <c r="DW21" s="482"/>
      <c r="DX21" s="482"/>
      <c r="DY21" s="482"/>
      <c r="DZ21" s="482"/>
      <c r="EA21" s="482"/>
      <c r="EB21" s="482"/>
      <c r="EC21" s="482"/>
      <c r="ED21" s="482"/>
      <c r="EE21" s="482"/>
      <c r="EF21" s="482"/>
      <c r="EG21" s="482"/>
      <c r="EH21" s="482"/>
      <c r="EI21" s="482"/>
      <c r="EJ21" s="482"/>
      <c r="EK21" s="482"/>
      <c r="EL21" s="482"/>
      <c r="EM21" s="482"/>
      <c r="EN21" s="482"/>
      <c r="EO21" s="482"/>
      <c r="EP21" s="482"/>
      <c r="EQ21" s="482"/>
      <c r="ER21" s="482"/>
      <c r="ES21" s="482"/>
      <c r="ET21" s="482"/>
      <c r="EU21" s="482"/>
      <c r="EV21" s="482"/>
      <c r="EW21" s="482"/>
      <c r="EX21" s="482"/>
      <c r="EY21" s="482"/>
      <c r="EZ21" s="482"/>
      <c r="FA21" s="482"/>
      <c r="FB21" s="482"/>
      <c r="FC21" s="482"/>
      <c r="FD21" s="482"/>
      <c r="FE21" s="482"/>
      <c r="FF21" s="482"/>
      <c r="FG21" s="482"/>
      <c r="FH21" s="482"/>
      <c r="FI21" s="482"/>
      <c r="FJ21" s="482"/>
      <c r="FK21" s="482"/>
      <c r="FL21" s="482"/>
      <c r="FM21" s="482"/>
      <c r="FN21" s="482"/>
      <c r="FO21" s="482"/>
      <c r="FP21" s="482"/>
      <c r="FQ21" s="482"/>
      <c r="FR21" s="482"/>
      <c r="FS21" s="482"/>
      <c r="FT21" s="482"/>
      <c r="FU21" s="482"/>
      <c r="FV21" s="482"/>
      <c r="FW21" s="482"/>
      <c r="FX21" s="482"/>
      <c r="FY21" s="482"/>
      <c r="FZ21" s="482"/>
      <c r="GA21" s="482"/>
      <c r="GB21" s="482"/>
      <c r="GC21" s="482"/>
      <c r="GD21" s="482"/>
      <c r="GE21" s="482"/>
      <c r="GF21" s="482"/>
      <c r="GG21" s="482"/>
      <c r="GH21" s="482"/>
      <c r="GI21" s="482"/>
      <c r="GJ21" s="482"/>
      <c r="GK21" s="482"/>
      <c r="GL21" s="482"/>
      <c r="GM21" s="482"/>
      <c r="GN21" s="482"/>
      <c r="GO21" s="482"/>
      <c r="GP21" s="482"/>
      <c r="GQ21" s="482"/>
      <c r="GR21" s="482"/>
      <c r="GS21" s="482"/>
      <c r="GT21" s="482"/>
      <c r="GU21" s="482"/>
      <c r="GV21" s="482"/>
      <c r="GW21" s="482"/>
      <c r="GX21" s="482"/>
      <c r="GY21" s="482"/>
      <c r="GZ21" s="482"/>
      <c r="HA21" s="482"/>
      <c r="HB21" s="482"/>
      <c r="HC21" s="482"/>
      <c r="HD21" s="482"/>
      <c r="HE21" s="482"/>
      <c r="HF21" s="482"/>
      <c r="HG21" s="482"/>
      <c r="HH21" s="482"/>
      <c r="HI21" s="482"/>
      <c r="HJ21" s="482"/>
      <c r="HK21" s="482"/>
      <c r="HL21" s="482"/>
      <c r="HM21" s="482"/>
      <c r="HN21" s="482"/>
      <c r="HO21" s="482"/>
      <c r="HP21" s="482"/>
      <c r="HQ21" s="482"/>
      <c r="HR21" s="482"/>
      <c r="HS21" s="482"/>
      <c r="HT21" s="482"/>
      <c r="HU21" s="482"/>
      <c r="HV21" s="482"/>
      <c r="HW21" s="482"/>
      <c r="HX21" s="482"/>
      <c r="HY21" s="482"/>
      <c r="HZ21" s="482"/>
      <c r="IA21" s="482"/>
      <c r="IB21" s="482"/>
      <c r="IC21" s="482"/>
      <c r="ID21" s="482"/>
      <c r="IE21" s="482"/>
      <c r="IF21" s="482"/>
      <c r="IG21" s="482"/>
      <c r="IH21" s="482"/>
      <c r="II21" s="482"/>
      <c r="IJ21" s="482"/>
      <c r="IK21" s="482"/>
      <c r="IL21" s="482"/>
      <c r="IM21" s="482"/>
      <c r="IN21" s="482"/>
      <c r="IO21" s="482"/>
      <c r="IP21" s="482"/>
      <c r="IQ21" s="482"/>
      <c r="IR21" s="482"/>
    </row>
    <row r="22" spans="1:252" ht="17.25" customHeight="1">
      <c r="A22" s="640"/>
      <c r="B22" s="656" t="s">
        <v>869</v>
      </c>
      <c r="C22" s="504">
        <v>54.1</v>
      </c>
      <c r="D22" s="489" t="s">
        <v>832</v>
      </c>
      <c r="E22" s="490">
        <v>4012000</v>
      </c>
      <c r="F22" s="490">
        <f>C22*E22*8/12</f>
        <v>144699466.66666666</v>
      </c>
      <c r="G22" s="504">
        <v>52.4</v>
      </c>
      <c r="H22" s="489" t="s">
        <v>832</v>
      </c>
      <c r="I22" s="490">
        <v>4152000</v>
      </c>
      <c r="J22" s="490">
        <f>G22*I22/12*8</f>
        <v>145043200</v>
      </c>
      <c r="K22" s="490">
        <v>145043</v>
      </c>
      <c r="L22" s="490">
        <v>145043</v>
      </c>
      <c r="M22" s="490">
        <f>145043+830</f>
        <v>145873</v>
      </c>
      <c r="N22" s="490">
        <f>145043+830</f>
        <v>145873</v>
      </c>
      <c r="O22" s="490">
        <f>145043+830</f>
        <v>145873</v>
      </c>
      <c r="P22" s="646">
        <v>145873</v>
      </c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2"/>
      <c r="AN22" s="482"/>
      <c r="AO22" s="482"/>
      <c r="AP22" s="482"/>
      <c r="AQ22" s="482"/>
      <c r="AR22" s="482"/>
      <c r="AS22" s="482"/>
      <c r="AT22" s="482"/>
      <c r="AU22" s="482"/>
      <c r="AV22" s="482"/>
      <c r="AW22" s="482"/>
      <c r="AX22" s="482"/>
      <c r="AY22" s="482"/>
      <c r="AZ22" s="482"/>
      <c r="BA22" s="482"/>
      <c r="BB22" s="482"/>
      <c r="BC22" s="482"/>
      <c r="BD22" s="482"/>
      <c r="BE22" s="482"/>
      <c r="BF22" s="482"/>
      <c r="BG22" s="482"/>
      <c r="BH22" s="482"/>
      <c r="BI22" s="482"/>
      <c r="BJ22" s="482"/>
      <c r="BK22" s="482"/>
      <c r="BL22" s="482"/>
      <c r="BM22" s="482"/>
      <c r="BN22" s="482"/>
      <c r="BO22" s="482"/>
      <c r="BP22" s="482"/>
      <c r="BQ22" s="482"/>
      <c r="BR22" s="482"/>
      <c r="BS22" s="482"/>
      <c r="BT22" s="482"/>
      <c r="BU22" s="482"/>
      <c r="BV22" s="482"/>
      <c r="BW22" s="482"/>
      <c r="BX22" s="482"/>
      <c r="BY22" s="482"/>
      <c r="BZ22" s="482"/>
      <c r="CA22" s="482"/>
      <c r="CB22" s="482"/>
      <c r="CC22" s="482"/>
      <c r="CD22" s="482"/>
      <c r="CE22" s="482"/>
      <c r="CF22" s="482"/>
      <c r="CG22" s="482"/>
      <c r="CH22" s="482"/>
      <c r="CI22" s="482"/>
      <c r="CJ22" s="482"/>
      <c r="CK22" s="482"/>
      <c r="CL22" s="482"/>
      <c r="CM22" s="482"/>
      <c r="CN22" s="482"/>
      <c r="CO22" s="482"/>
      <c r="CP22" s="482"/>
      <c r="CQ22" s="482"/>
      <c r="CR22" s="482"/>
      <c r="CS22" s="482"/>
      <c r="CT22" s="482"/>
      <c r="CU22" s="482"/>
      <c r="CV22" s="482"/>
      <c r="CW22" s="482"/>
      <c r="CX22" s="482"/>
      <c r="CY22" s="482"/>
      <c r="CZ22" s="482"/>
      <c r="DA22" s="482"/>
      <c r="DB22" s="482"/>
      <c r="DC22" s="482"/>
      <c r="DD22" s="482"/>
      <c r="DE22" s="482"/>
      <c r="DF22" s="482"/>
      <c r="DG22" s="482"/>
      <c r="DH22" s="482"/>
      <c r="DI22" s="482"/>
      <c r="DJ22" s="482"/>
      <c r="DK22" s="482"/>
      <c r="DL22" s="482"/>
      <c r="DM22" s="482"/>
      <c r="DN22" s="482"/>
      <c r="DO22" s="482"/>
      <c r="DP22" s="482"/>
      <c r="DQ22" s="482"/>
      <c r="DR22" s="482"/>
      <c r="DS22" s="482"/>
      <c r="DT22" s="482"/>
      <c r="DU22" s="482"/>
      <c r="DV22" s="482"/>
      <c r="DW22" s="482"/>
      <c r="DX22" s="482"/>
      <c r="DY22" s="482"/>
      <c r="DZ22" s="482"/>
      <c r="EA22" s="482"/>
      <c r="EB22" s="482"/>
      <c r="EC22" s="482"/>
      <c r="ED22" s="482"/>
      <c r="EE22" s="482"/>
      <c r="EF22" s="482"/>
      <c r="EG22" s="482"/>
      <c r="EH22" s="482"/>
      <c r="EI22" s="482"/>
      <c r="EJ22" s="482"/>
      <c r="EK22" s="482"/>
      <c r="EL22" s="482"/>
      <c r="EM22" s="482"/>
      <c r="EN22" s="482"/>
      <c r="EO22" s="482"/>
      <c r="EP22" s="482"/>
      <c r="EQ22" s="482"/>
      <c r="ER22" s="482"/>
      <c r="ES22" s="482"/>
      <c r="ET22" s="482"/>
      <c r="EU22" s="482"/>
      <c r="EV22" s="482"/>
      <c r="EW22" s="482"/>
      <c r="EX22" s="482"/>
      <c r="EY22" s="482"/>
      <c r="EZ22" s="482"/>
      <c r="FA22" s="482"/>
      <c r="FB22" s="482"/>
      <c r="FC22" s="482"/>
      <c r="FD22" s="482"/>
      <c r="FE22" s="482"/>
      <c r="FF22" s="482"/>
      <c r="FG22" s="482"/>
      <c r="FH22" s="482"/>
      <c r="FI22" s="482"/>
      <c r="FJ22" s="482"/>
      <c r="FK22" s="482"/>
      <c r="FL22" s="482"/>
      <c r="FM22" s="482"/>
      <c r="FN22" s="482"/>
      <c r="FO22" s="482"/>
      <c r="FP22" s="482"/>
      <c r="FQ22" s="482"/>
      <c r="FR22" s="482"/>
      <c r="FS22" s="482"/>
      <c r="FT22" s="482"/>
      <c r="FU22" s="482"/>
      <c r="FV22" s="482"/>
      <c r="FW22" s="482"/>
      <c r="FX22" s="482"/>
      <c r="FY22" s="482"/>
      <c r="FZ22" s="482"/>
      <c r="GA22" s="482"/>
      <c r="GB22" s="482"/>
      <c r="GC22" s="482"/>
      <c r="GD22" s="482"/>
      <c r="GE22" s="482"/>
      <c r="GF22" s="482"/>
      <c r="GG22" s="482"/>
      <c r="GH22" s="482"/>
      <c r="GI22" s="482"/>
      <c r="GJ22" s="482"/>
      <c r="GK22" s="482"/>
      <c r="GL22" s="482"/>
      <c r="GM22" s="482"/>
      <c r="GN22" s="482"/>
      <c r="GO22" s="482"/>
      <c r="GP22" s="482"/>
      <c r="GQ22" s="482"/>
      <c r="GR22" s="482"/>
      <c r="GS22" s="482"/>
      <c r="GT22" s="482"/>
      <c r="GU22" s="482"/>
      <c r="GV22" s="482"/>
      <c r="GW22" s="482"/>
      <c r="GX22" s="482"/>
      <c r="GY22" s="482"/>
      <c r="GZ22" s="482"/>
      <c r="HA22" s="482"/>
      <c r="HB22" s="482"/>
      <c r="HC22" s="482"/>
      <c r="HD22" s="482"/>
      <c r="HE22" s="482"/>
      <c r="HF22" s="482"/>
      <c r="HG22" s="482"/>
      <c r="HH22" s="482"/>
      <c r="HI22" s="482"/>
      <c r="HJ22" s="482"/>
      <c r="HK22" s="482"/>
      <c r="HL22" s="482"/>
      <c r="HM22" s="482"/>
      <c r="HN22" s="482"/>
      <c r="HO22" s="482"/>
      <c r="HP22" s="482"/>
      <c r="HQ22" s="482"/>
      <c r="HR22" s="482"/>
      <c r="HS22" s="482"/>
      <c r="HT22" s="482"/>
      <c r="HU22" s="482"/>
      <c r="HV22" s="482"/>
      <c r="HW22" s="482"/>
      <c r="HX22" s="482"/>
      <c r="HY22" s="482"/>
      <c r="HZ22" s="482"/>
      <c r="IA22" s="482"/>
      <c r="IB22" s="482"/>
      <c r="IC22" s="482"/>
      <c r="ID22" s="482"/>
      <c r="IE22" s="482"/>
      <c r="IF22" s="482"/>
      <c r="IG22" s="482"/>
      <c r="IH22" s="482"/>
      <c r="II22" s="482"/>
      <c r="IJ22" s="482"/>
      <c r="IK22" s="482"/>
      <c r="IL22" s="482"/>
      <c r="IM22" s="482"/>
      <c r="IN22" s="482"/>
      <c r="IO22" s="482"/>
      <c r="IP22" s="482"/>
      <c r="IQ22" s="482"/>
      <c r="IR22" s="482"/>
    </row>
    <row r="23" spans="1:252" ht="17.25" customHeight="1">
      <c r="A23" s="640"/>
      <c r="B23" s="656" t="s">
        <v>870</v>
      </c>
      <c r="C23" s="504">
        <v>53.5</v>
      </c>
      <c r="D23" s="489" t="s">
        <v>832</v>
      </c>
      <c r="E23" s="490">
        <v>4012000</v>
      </c>
      <c r="F23" s="490">
        <f>C23*E23*4/12</f>
        <v>71547333.33333333</v>
      </c>
      <c r="G23" s="504">
        <v>51.6</v>
      </c>
      <c r="H23" s="489" t="s">
        <v>832</v>
      </c>
      <c r="I23" s="490">
        <v>4152000</v>
      </c>
      <c r="J23" s="490">
        <f>G23*I23/12*4</f>
        <v>71414400</v>
      </c>
      <c r="K23" s="490">
        <v>71415</v>
      </c>
      <c r="L23" s="490">
        <v>71415</v>
      </c>
      <c r="M23" s="490">
        <f>71415+138</f>
        <v>71553</v>
      </c>
      <c r="N23" s="490">
        <f>71415+138</f>
        <v>71553</v>
      </c>
      <c r="O23" s="490">
        <v>70169</v>
      </c>
      <c r="P23" s="646">
        <v>70169</v>
      </c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2"/>
      <c r="AY23" s="482"/>
      <c r="AZ23" s="482"/>
      <c r="BA23" s="482"/>
      <c r="BB23" s="482"/>
      <c r="BC23" s="482"/>
      <c r="BD23" s="482"/>
      <c r="BE23" s="482"/>
      <c r="BF23" s="482"/>
      <c r="BG23" s="482"/>
      <c r="BH23" s="482"/>
      <c r="BI23" s="482"/>
      <c r="BJ23" s="482"/>
      <c r="BK23" s="482"/>
      <c r="BL23" s="482"/>
      <c r="BM23" s="482"/>
      <c r="BN23" s="482"/>
      <c r="BO23" s="482"/>
      <c r="BP23" s="482"/>
      <c r="BQ23" s="482"/>
      <c r="BR23" s="482"/>
      <c r="BS23" s="482"/>
      <c r="BT23" s="482"/>
      <c r="BU23" s="482"/>
      <c r="BV23" s="482"/>
      <c r="BW23" s="482"/>
      <c r="BX23" s="482"/>
      <c r="BY23" s="482"/>
      <c r="BZ23" s="482"/>
      <c r="CA23" s="482"/>
      <c r="CB23" s="482"/>
      <c r="CC23" s="482"/>
      <c r="CD23" s="482"/>
      <c r="CE23" s="482"/>
      <c r="CF23" s="482"/>
      <c r="CG23" s="482"/>
      <c r="CH23" s="482"/>
      <c r="CI23" s="482"/>
      <c r="CJ23" s="482"/>
      <c r="CK23" s="482"/>
      <c r="CL23" s="482"/>
      <c r="CM23" s="482"/>
      <c r="CN23" s="482"/>
      <c r="CO23" s="482"/>
      <c r="CP23" s="482"/>
      <c r="CQ23" s="482"/>
      <c r="CR23" s="482"/>
      <c r="CS23" s="482"/>
      <c r="CT23" s="482"/>
      <c r="CU23" s="482"/>
      <c r="CV23" s="482"/>
      <c r="CW23" s="482"/>
      <c r="CX23" s="482"/>
      <c r="CY23" s="482"/>
      <c r="CZ23" s="482"/>
      <c r="DA23" s="482"/>
      <c r="DB23" s="482"/>
      <c r="DC23" s="482"/>
      <c r="DD23" s="482"/>
      <c r="DE23" s="482"/>
      <c r="DF23" s="482"/>
      <c r="DG23" s="482"/>
      <c r="DH23" s="482"/>
      <c r="DI23" s="482"/>
      <c r="DJ23" s="482"/>
      <c r="DK23" s="482"/>
      <c r="DL23" s="482"/>
      <c r="DM23" s="482"/>
      <c r="DN23" s="482"/>
      <c r="DO23" s="482"/>
      <c r="DP23" s="482"/>
      <c r="DQ23" s="482"/>
      <c r="DR23" s="482"/>
      <c r="DS23" s="482"/>
      <c r="DT23" s="482"/>
      <c r="DU23" s="482"/>
      <c r="DV23" s="482"/>
      <c r="DW23" s="482"/>
      <c r="DX23" s="482"/>
      <c r="DY23" s="482"/>
      <c r="DZ23" s="482"/>
      <c r="EA23" s="482"/>
      <c r="EB23" s="482"/>
      <c r="EC23" s="482"/>
      <c r="ED23" s="482"/>
      <c r="EE23" s="482"/>
      <c r="EF23" s="482"/>
      <c r="EG23" s="482"/>
      <c r="EH23" s="482"/>
      <c r="EI23" s="482"/>
      <c r="EJ23" s="482"/>
      <c r="EK23" s="482"/>
      <c r="EL23" s="482"/>
      <c r="EM23" s="482"/>
      <c r="EN23" s="482"/>
      <c r="EO23" s="482"/>
      <c r="EP23" s="482"/>
      <c r="EQ23" s="482"/>
      <c r="ER23" s="482"/>
      <c r="ES23" s="482"/>
      <c r="ET23" s="482"/>
      <c r="EU23" s="482"/>
      <c r="EV23" s="482"/>
      <c r="EW23" s="482"/>
      <c r="EX23" s="482"/>
      <c r="EY23" s="482"/>
      <c r="EZ23" s="482"/>
      <c r="FA23" s="482"/>
      <c r="FB23" s="482"/>
      <c r="FC23" s="482"/>
      <c r="FD23" s="482"/>
      <c r="FE23" s="482"/>
      <c r="FF23" s="482"/>
      <c r="FG23" s="482"/>
      <c r="FH23" s="482"/>
      <c r="FI23" s="482"/>
      <c r="FJ23" s="482"/>
      <c r="FK23" s="482"/>
      <c r="FL23" s="482"/>
      <c r="FM23" s="482"/>
      <c r="FN23" s="482"/>
      <c r="FO23" s="482"/>
      <c r="FP23" s="482"/>
      <c r="FQ23" s="482"/>
      <c r="FR23" s="482"/>
      <c r="FS23" s="482"/>
      <c r="FT23" s="482"/>
      <c r="FU23" s="482"/>
      <c r="FV23" s="482"/>
      <c r="FW23" s="482"/>
      <c r="FX23" s="482"/>
      <c r="FY23" s="482"/>
      <c r="FZ23" s="482"/>
      <c r="GA23" s="482"/>
      <c r="GB23" s="482"/>
      <c r="GC23" s="482"/>
      <c r="GD23" s="482"/>
      <c r="GE23" s="482"/>
      <c r="GF23" s="482"/>
      <c r="GG23" s="482"/>
      <c r="GH23" s="482"/>
      <c r="GI23" s="482"/>
      <c r="GJ23" s="482"/>
      <c r="GK23" s="482"/>
      <c r="GL23" s="482"/>
      <c r="GM23" s="482"/>
      <c r="GN23" s="482"/>
      <c r="GO23" s="482"/>
      <c r="GP23" s="482"/>
      <c r="GQ23" s="482"/>
      <c r="GR23" s="482"/>
      <c r="GS23" s="482"/>
      <c r="GT23" s="482"/>
      <c r="GU23" s="482"/>
      <c r="GV23" s="482"/>
      <c r="GW23" s="482"/>
      <c r="GX23" s="482"/>
      <c r="GY23" s="482"/>
      <c r="GZ23" s="482"/>
      <c r="HA23" s="482"/>
      <c r="HB23" s="482"/>
      <c r="HC23" s="482"/>
      <c r="HD23" s="482"/>
      <c r="HE23" s="482"/>
      <c r="HF23" s="482"/>
      <c r="HG23" s="482"/>
      <c r="HH23" s="482"/>
      <c r="HI23" s="482"/>
      <c r="HJ23" s="482"/>
      <c r="HK23" s="482"/>
      <c r="HL23" s="482"/>
      <c r="HM23" s="482"/>
      <c r="HN23" s="482"/>
      <c r="HO23" s="482"/>
      <c r="HP23" s="482"/>
      <c r="HQ23" s="482"/>
      <c r="HR23" s="482"/>
      <c r="HS23" s="482"/>
      <c r="HT23" s="482"/>
      <c r="HU23" s="482"/>
      <c r="HV23" s="482"/>
      <c r="HW23" s="482"/>
      <c r="HX23" s="482"/>
      <c r="HY23" s="482"/>
      <c r="HZ23" s="482"/>
      <c r="IA23" s="482"/>
      <c r="IB23" s="482"/>
      <c r="IC23" s="482"/>
      <c r="ID23" s="482"/>
      <c r="IE23" s="482"/>
      <c r="IF23" s="482"/>
      <c r="IG23" s="482"/>
      <c r="IH23" s="482"/>
      <c r="II23" s="482"/>
      <c r="IJ23" s="482"/>
      <c r="IK23" s="482"/>
      <c r="IL23" s="482"/>
      <c r="IM23" s="482"/>
      <c r="IN23" s="482"/>
      <c r="IO23" s="482"/>
      <c r="IP23" s="482"/>
      <c r="IQ23" s="482"/>
      <c r="IR23" s="482"/>
    </row>
    <row r="24" spans="1:252" ht="17.25" customHeight="1">
      <c r="A24" s="640"/>
      <c r="B24" s="656" t="s">
        <v>871</v>
      </c>
      <c r="C24" s="504">
        <v>53.5</v>
      </c>
      <c r="D24" s="489" t="s">
        <v>832</v>
      </c>
      <c r="E24" s="490">
        <v>34400</v>
      </c>
      <c r="F24" s="490">
        <f>C24*E24</f>
        <v>1840400</v>
      </c>
      <c r="G24" s="504">
        <v>51.6</v>
      </c>
      <c r="H24" s="489" t="s">
        <v>832</v>
      </c>
      <c r="I24" s="490">
        <v>35000</v>
      </c>
      <c r="J24" s="490">
        <f>G24*I24</f>
        <v>1806000</v>
      </c>
      <c r="K24" s="490">
        <v>1806</v>
      </c>
      <c r="L24" s="490">
        <v>1806</v>
      </c>
      <c r="M24" s="490">
        <f>1806+4</f>
        <v>1810</v>
      </c>
      <c r="N24" s="490">
        <f>1806+4</f>
        <v>1810</v>
      </c>
      <c r="O24" s="490">
        <v>1774</v>
      </c>
      <c r="P24" s="646">
        <v>1774</v>
      </c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482"/>
      <c r="AN24" s="482"/>
      <c r="AO24" s="482"/>
      <c r="AP24" s="482"/>
      <c r="AQ24" s="482"/>
      <c r="AR24" s="482"/>
      <c r="AS24" s="482"/>
      <c r="AT24" s="482"/>
      <c r="AU24" s="482"/>
      <c r="AV24" s="482"/>
      <c r="AW24" s="482"/>
      <c r="AX24" s="482"/>
      <c r="AY24" s="482"/>
      <c r="AZ24" s="482"/>
      <c r="BA24" s="482"/>
      <c r="BB24" s="482"/>
      <c r="BC24" s="482"/>
      <c r="BD24" s="482"/>
      <c r="BE24" s="482"/>
      <c r="BF24" s="482"/>
      <c r="BG24" s="482"/>
      <c r="BH24" s="482"/>
      <c r="BI24" s="482"/>
      <c r="BJ24" s="482"/>
      <c r="BK24" s="482"/>
      <c r="BL24" s="482"/>
      <c r="BM24" s="482"/>
      <c r="BN24" s="482"/>
      <c r="BO24" s="482"/>
      <c r="BP24" s="482"/>
      <c r="BQ24" s="482"/>
      <c r="BR24" s="482"/>
      <c r="BS24" s="482"/>
      <c r="BT24" s="482"/>
      <c r="BU24" s="482"/>
      <c r="BV24" s="482"/>
      <c r="BW24" s="482"/>
      <c r="BX24" s="482"/>
      <c r="BY24" s="482"/>
      <c r="BZ24" s="482"/>
      <c r="CA24" s="482"/>
      <c r="CB24" s="482"/>
      <c r="CC24" s="482"/>
      <c r="CD24" s="482"/>
      <c r="CE24" s="482"/>
      <c r="CF24" s="482"/>
      <c r="CG24" s="482"/>
      <c r="CH24" s="482"/>
      <c r="CI24" s="482"/>
      <c r="CJ24" s="482"/>
      <c r="CK24" s="482"/>
      <c r="CL24" s="482"/>
      <c r="CM24" s="482"/>
      <c r="CN24" s="482"/>
      <c r="CO24" s="482"/>
      <c r="CP24" s="482"/>
      <c r="CQ24" s="482"/>
      <c r="CR24" s="482"/>
      <c r="CS24" s="482"/>
      <c r="CT24" s="482"/>
      <c r="CU24" s="482"/>
      <c r="CV24" s="482"/>
      <c r="CW24" s="482"/>
      <c r="CX24" s="482"/>
      <c r="CY24" s="482"/>
      <c r="CZ24" s="482"/>
      <c r="DA24" s="482"/>
      <c r="DB24" s="482"/>
      <c r="DC24" s="482"/>
      <c r="DD24" s="482"/>
      <c r="DE24" s="482"/>
      <c r="DF24" s="482"/>
      <c r="DG24" s="482"/>
      <c r="DH24" s="482"/>
      <c r="DI24" s="482"/>
      <c r="DJ24" s="482"/>
      <c r="DK24" s="482"/>
      <c r="DL24" s="482"/>
      <c r="DM24" s="482"/>
      <c r="DN24" s="482"/>
      <c r="DO24" s="482"/>
      <c r="DP24" s="482"/>
      <c r="DQ24" s="482"/>
      <c r="DR24" s="482"/>
      <c r="DS24" s="482"/>
      <c r="DT24" s="482"/>
      <c r="DU24" s="482"/>
      <c r="DV24" s="482"/>
      <c r="DW24" s="482"/>
      <c r="DX24" s="482"/>
      <c r="DY24" s="482"/>
      <c r="DZ24" s="482"/>
      <c r="EA24" s="482"/>
      <c r="EB24" s="482"/>
      <c r="EC24" s="482"/>
      <c r="ED24" s="482"/>
      <c r="EE24" s="482"/>
      <c r="EF24" s="482"/>
      <c r="EG24" s="482"/>
      <c r="EH24" s="482"/>
      <c r="EI24" s="482"/>
      <c r="EJ24" s="482"/>
      <c r="EK24" s="482"/>
      <c r="EL24" s="482"/>
      <c r="EM24" s="482"/>
      <c r="EN24" s="482"/>
      <c r="EO24" s="482"/>
      <c r="EP24" s="482"/>
      <c r="EQ24" s="482"/>
      <c r="ER24" s="482"/>
      <c r="ES24" s="482"/>
      <c r="ET24" s="482"/>
      <c r="EU24" s="482"/>
      <c r="EV24" s="482"/>
      <c r="EW24" s="482"/>
      <c r="EX24" s="482"/>
      <c r="EY24" s="482"/>
      <c r="EZ24" s="482"/>
      <c r="FA24" s="482"/>
      <c r="FB24" s="482"/>
      <c r="FC24" s="482"/>
      <c r="FD24" s="482"/>
      <c r="FE24" s="482"/>
      <c r="FF24" s="482"/>
      <c r="FG24" s="482"/>
      <c r="FH24" s="482"/>
      <c r="FI24" s="482"/>
      <c r="FJ24" s="482"/>
      <c r="FK24" s="482"/>
      <c r="FL24" s="482"/>
      <c r="FM24" s="482"/>
      <c r="FN24" s="482"/>
      <c r="FO24" s="482"/>
      <c r="FP24" s="482"/>
      <c r="FQ24" s="482"/>
      <c r="FR24" s="482"/>
      <c r="FS24" s="482"/>
      <c r="FT24" s="482"/>
      <c r="FU24" s="482"/>
      <c r="FV24" s="482"/>
      <c r="FW24" s="482"/>
      <c r="FX24" s="482"/>
      <c r="FY24" s="482"/>
      <c r="FZ24" s="482"/>
      <c r="GA24" s="482"/>
      <c r="GB24" s="482"/>
      <c r="GC24" s="482"/>
      <c r="GD24" s="482"/>
      <c r="GE24" s="482"/>
      <c r="GF24" s="482"/>
      <c r="GG24" s="482"/>
      <c r="GH24" s="482"/>
      <c r="GI24" s="482"/>
      <c r="GJ24" s="482"/>
      <c r="GK24" s="482"/>
      <c r="GL24" s="482"/>
      <c r="GM24" s="482"/>
      <c r="GN24" s="482"/>
      <c r="GO24" s="482"/>
      <c r="GP24" s="482"/>
      <c r="GQ24" s="482"/>
      <c r="GR24" s="482"/>
      <c r="GS24" s="482"/>
      <c r="GT24" s="482"/>
      <c r="GU24" s="482"/>
      <c r="GV24" s="482"/>
      <c r="GW24" s="482"/>
      <c r="GX24" s="482"/>
      <c r="GY24" s="482"/>
      <c r="GZ24" s="482"/>
      <c r="HA24" s="482"/>
      <c r="HB24" s="482"/>
      <c r="HC24" s="482"/>
      <c r="HD24" s="482"/>
      <c r="HE24" s="482"/>
      <c r="HF24" s="482"/>
      <c r="HG24" s="482"/>
      <c r="HH24" s="482"/>
      <c r="HI24" s="482"/>
      <c r="HJ24" s="482"/>
      <c r="HK24" s="482"/>
      <c r="HL24" s="482"/>
      <c r="HM24" s="482"/>
      <c r="HN24" s="482"/>
      <c r="HO24" s="482"/>
      <c r="HP24" s="482"/>
      <c r="HQ24" s="482"/>
      <c r="HR24" s="482"/>
      <c r="HS24" s="482"/>
      <c r="HT24" s="482"/>
      <c r="HU24" s="482"/>
      <c r="HV24" s="482"/>
      <c r="HW24" s="482"/>
      <c r="HX24" s="482"/>
      <c r="HY24" s="482"/>
      <c r="HZ24" s="482"/>
      <c r="IA24" s="482"/>
      <c r="IB24" s="482"/>
      <c r="IC24" s="482"/>
      <c r="ID24" s="482"/>
      <c r="IE24" s="482"/>
      <c r="IF24" s="482"/>
      <c r="IG24" s="482"/>
      <c r="IH24" s="482"/>
      <c r="II24" s="482"/>
      <c r="IJ24" s="482"/>
      <c r="IK24" s="482"/>
      <c r="IL24" s="482"/>
      <c r="IM24" s="482"/>
      <c r="IN24" s="482"/>
      <c r="IO24" s="482"/>
      <c r="IP24" s="482"/>
      <c r="IQ24" s="482"/>
      <c r="IR24" s="482"/>
    </row>
    <row r="25" spans="1:252" ht="17.25" customHeight="1">
      <c r="A25" s="640"/>
      <c r="B25" s="656" t="s">
        <v>872</v>
      </c>
      <c r="C25" s="504">
        <v>33</v>
      </c>
      <c r="D25" s="489" t="s">
        <v>832</v>
      </c>
      <c r="E25" s="490">
        <v>1800000</v>
      </c>
      <c r="F25" s="490">
        <f>C25*E25*8/12</f>
        <v>39600000</v>
      </c>
      <c r="G25" s="504">
        <v>34</v>
      </c>
      <c r="H25" s="489" t="s">
        <v>832</v>
      </c>
      <c r="I25" s="490">
        <v>1800000</v>
      </c>
      <c r="J25" s="490">
        <f>G25*I25/12*8</f>
        <v>40800000</v>
      </c>
      <c r="K25" s="490">
        <v>40800</v>
      </c>
      <c r="L25" s="490">
        <v>40800</v>
      </c>
      <c r="M25" s="490">
        <v>40800</v>
      </c>
      <c r="N25" s="490">
        <v>40800</v>
      </c>
      <c r="O25" s="490">
        <v>40440</v>
      </c>
      <c r="P25" s="646">
        <v>40440</v>
      </c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2"/>
      <c r="BE25" s="482"/>
      <c r="BF25" s="482"/>
      <c r="BG25" s="482"/>
      <c r="BH25" s="482"/>
      <c r="BI25" s="482"/>
      <c r="BJ25" s="482"/>
      <c r="BK25" s="482"/>
      <c r="BL25" s="482"/>
      <c r="BM25" s="482"/>
      <c r="BN25" s="482"/>
      <c r="BO25" s="482"/>
      <c r="BP25" s="482"/>
      <c r="BQ25" s="482"/>
      <c r="BR25" s="482"/>
      <c r="BS25" s="482"/>
      <c r="BT25" s="482"/>
      <c r="BU25" s="482"/>
      <c r="BV25" s="482"/>
      <c r="BW25" s="482"/>
      <c r="BX25" s="482"/>
      <c r="BY25" s="482"/>
      <c r="BZ25" s="482"/>
      <c r="CA25" s="482"/>
      <c r="CB25" s="482"/>
      <c r="CC25" s="482"/>
      <c r="CD25" s="482"/>
      <c r="CE25" s="482"/>
      <c r="CF25" s="482"/>
      <c r="CG25" s="482"/>
      <c r="CH25" s="482"/>
      <c r="CI25" s="482"/>
      <c r="CJ25" s="482"/>
      <c r="CK25" s="482"/>
      <c r="CL25" s="482"/>
      <c r="CM25" s="482"/>
      <c r="CN25" s="482"/>
      <c r="CO25" s="482"/>
      <c r="CP25" s="482"/>
      <c r="CQ25" s="482"/>
      <c r="CR25" s="482"/>
      <c r="CS25" s="482"/>
      <c r="CT25" s="482"/>
      <c r="CU25" s="482"/>
      <c r="CV25" s="482"/>
      <c r="CW25" s="482"/>
      <c r="CX25" s="482"/>
      <c r="CY25" s="482"/>
      <c r="CZ25" s="482"/>
      <c r="DA25" s="482"/>
      <c r="DB25" s="482"/>
      <c r="DC25" s="482"/>
      <c r="DD25" s="482"/>
      <c r="DE25" s="482"/>
      <c r="DF25" s="482"/>
      <c r="DG25" s="482"/>
      <c r="DH25" s="482"/>
      <c r="DI25" s="482"/>
      <c r="DJ25" s="482"/>
      <c r="DK25" s="482"/>
      <c r="DL25" s="482"/>
      <c r="DM25" s="482"/>
      <c r="DN25" s="482"/>
      <c r="DO25" s="482"/>
      <c r="DP25" s="482"/>
      <c r="DQ25" s="482"/>
      <c r="DR25" s="482"/>
      <c r="DS25" s="482"/>
      <c r="DT25" s="482"/>
      <c r="DU25" s="482"/>
      <c r="DV25" s="482"/>
      <c r="DW25" s="482"/>
      <c r="DX25" s="482"/>
      <c r="DY25" s="482"/>
      <c r="DZ25" s="482"/>
      <c r="EA25" s="482"/>
      <c r="EB25" s="482"/>
      <c r="EC25" s="482"/>
      <c r="ED25" s="482"/>
      <c r="EE25" s="482"/>
      <c r="EF25" s="482"/>
      <c r="EG25" s="482"/>
      <c r="EH25" s="482"/>
      <c r="EI25" s="482"/>
      <c r="EJ25" s="482"/>
      <c r="EK25" s="482"/>
      <c r="EL25" s="482"/>
      <c r="EM25" s="482"/>
      <c r="EN25" s="482"/>
      <c r="EO25" s="482"/>
      <c r="EP25" s="482"/>
      <c r="EQ25" s="482"/>
      <c r="ER25" s="482"/>
      <c r="ES25" s="482"/>
      <c r="ET25" s="482"/>
      <c r="EU25" s="482"/>
      <c r="EV25" s="482"/>
      <c r="EW25" s="482"/>
      <c r="EX25" s="482"/>
      <c r="EY25" s="482"/>
      <c r="EZ25" s="482"/>
      <c r="FA25" s="482"/>
      <c r="FB25" s="482"/>
      <c r="FC25" s="482"/>
      <c r="FD25" s="482"/>
      <c r="FE25" s="482"/>
      <c r="FF25" s="482"/>
      <c r="FG25" s="482"/>
      <c r="FH25" s="482"/>
      <c r="FI25" s="482"/>
      <c r="FJ25" s="482"/>
      <c r="FK25" s="482"/>
      <c r="FL25" s="482"/>
      <c r="FM25" s="482"/>
      <c r="FN25" s="482"/>
      <c r="FO25" s="482"/>
      <c r="FP25" s="482"/>
      <c r="FQ25" s="482"/>
      <c r="FR25" s="482"/>
      <c r="FS25" s="482"/>
      <c r="FT25" s="482"/>
      <c r="FU25" s="482"/>
      <c r="FV25" s="482"/>
      <c r="FW25" s="482"/>
      <c r="FX25" s="482"/>
      <c r="FY25" s="482"/>
      <c r="FZ25" s="482"/>
      <c r="GA25" s="482"/>
      <c r="GB25" s="482"/>
      <c r="GC25" s="482"/>
      <c r="GD25" s="482"/>
      <c r="GE25" s="482"/>
      <c r="GF25" s="482"/>
      <c r="GG25" s="482"/>
      <c r="GH25" s="482"/>
      <c r="GI25" s="482"/>
      <c r="GJ25" s="482"/>
      <c r="GK25" s="482"/>
      <c r="GL25" s="482"/>
      <c r="GM25" s="482"/>
      <c r="GN25" s="482"/>
      <c r="GO25" s="482"/>
      <c r="GP25" s="482"/>
      <c r="GQ25" s="482"/>
      <c r="GR25" s="482"/>
      <c r="GS25" s="482"/>
      <c r="GT25" s="482"/>
      <c r="GU25" s="482"/>
      <c r="GV25" s="482"/>
      <c r="GW25" s="482"/>
      <c r="GX25" s="482"/>
      <c r="GY25" s="482"/>
      <c r="GZ25" s="482"/>
      <c r="HA25" s="482"/>
      <c r="HB25" s="482"/>
      <c r="HC25" s="482"/>
      <c r="HD25" s="482"/>
      <c r="HE25" s="482"/>
      <c r="HF25" s="482"/>
      <c r="HG25" s="482"/>
      <c r="HH25" s="482"/>
      <c r="HI25" s="482"/>
      <c r="HJ25" s="482"/>
      <c r="HK25" s="482"/>
      <c r="HL25" s="482"/>
      <c r="HM25" s="482"/>
      <c r="HN25" s="482"/>
      <c r="HO25" s="482"/>
      <c r="HP25" s="482"/>
      <c r="HQ25" s="482"/>
      <c r="HR25" s="482"/>
      <c r="HS25" s="482"/>
      <c r="HT25" s="482"/>
      <c r="HU25" s="482"/>
      <c r="HV25" s="482"/>
      <c r="HW25" s="482"/>
      <c r="HX25" s="482"/>
      <c r="HY25" s="482"/>
      <c r="HZ25" s="482"/>
      <c r="IA25" s="482"/>
      <c r="IB25" s="482"/>
      <c r="IC25" s="482"/>
      <c r="ID25" s="482"/>
      <c r="IE25" s="482"/>
      <c r="IF25" s="482"/>
      <c r="IG25" s="482"/>
      <c r="IH25" s="482"/>
      <c r="II25" s="482"/>
      <c r="IJ25" s="482"/>
      <c r="IK25" s="482"/>
      <c r="IL25" s="482"/>
      <c r="IM25" s="482"/>
      <c r="IN25" s="482"/>
      <c r="IO25" s="482"/>
      <c r="IP25" s="482"/>
      <c r="IQ25" s="482"/>
      <c r="IR25" s="482"/>
    </row>
    <row r="26" spans="1:252" ht="17.25" customHeight="1">
      <c r="A26" s="640"/>
      <c r="B26" s="656" t="s">
        <v>873</v>
      </c>
      <c r="C26" s="504">
        <v>33</v>
      </c>
      <c r="D26" s="489" t="s">
        <v>832</v>
      </c>
      <c r="E26" s="490">
        <v>1800000</v>
      </c>
      <c r="F26" s="490">
        <f>C26*E26*4/12</f>
        <v>19800000</v>
      </c>
      <c r="G26" s="504">
        <v>34</v>
      </c>
      <c r="H26" s="489" t="s">
        <v>832</v>
      </c>
      <c r="I26" s="490">
        <v>1800000</v>
      </c>
      <c r="J26" s="490">
        <f>G26*I26/12*4</f>
        <v>20400000</v>
      </c>
      <c r="K26" s="490">
        <v>20400</v>
      </c>
      <c r="L26" s="490">
        <v>20400</v>
      </c>
      <c r="M26" s="490">
        <v>20400</v>
      </c>
      <c r="N26" s="490">
        <v>20400</v>
      </c>
      <c r="O26" s="490">
        <v>20220</v>
      </c>
      <c r="P26" s="646">
        <v>20220</v>
      </c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  <c r="AX26" s="482"/>
      <c r="AY26" s="482"/>
      <c r="AZ26" s="482"/>
      <c r="BA26" s="482"/>
      <c r="BB26" s="482"/>
      <c r="BC26" s="482"/>
      <c r="BD26" s="482"/>
      <c r="BE26" s="482"/>
      <c r="BF26" s="482"/>
      <c r="BG26" s="482"/>
      <c r="BH26" s="482"/>
      <c r="BI26" s="482"/>
      <c r="BJ26" s="482"/>
      <c r="BK26" s="482"/>
      <c r="BL26" s="482"/>
      <c r="BM26" s="482"/>
      <c r="BN26" s="482"/>
      <c r="BO26" s="482"/>
      <c r="BP26" s="482"/>
      <c r="BQ26" s="482"/>
      <c r="BR26" s="482"/>
      <c r="BS26" s="482"/>
      <c r="BT26" s="482"/>
      <c r="BU26" s="482"/>
      <c r="BV26" s="482"/>
      <c r="BW26" s="482"/>
      <c r="BX26" s="482"/>
      <c r="BY26" s="482"/>
      <c r="BZ26" s="482"/>
      <c r="CA26" s="482"/>
      <c r="CB26" s="482"/>
      <c r="CC26" s="482"/>
      <c r="CD26" s="482"/>
      <c r="CE26" s="482"/>
      <c r="CF26" s="482"/>
      <c r="CG26" s="482"/>
      <c r="CH26" s="482"/>
      <c r="CI26" s="482"/>
      <c r="CJ26" s="482"/>
      <c r="CK26" s="482"/>
      <c r="CL26" s="482"/>
      <c r="CM26" s="482"/>
      <c r="CN26" s="482"/>
      <c r="CO26" s="482"/>
      <c r="CP26" s="482"/>
      <c r="CQ26" s="482"/>
      <c r="CR26" s="482"/>
      <c r="CS26" s="482"/>
      <c r="CT26" s="482"/>
      <c r="CU26" s="482"/>
      <c r="CV26" s="482"/>
      <c r="CW26" s="482"/>
      <c r="CX26" s="482"/>
      <c r="CY26" s="482"/>
      <c r="CZ26" s="482"/>
      <c r="DA26" s="482"/>
      <c r="DB26" s="482"/>
      <c r="DC26" s="482"/>
      <c r="DD26" s="482"/>
      <c r="DE26" s="482"/>
      <c r="DF26" s="482"/>
      <c r="DG26" s="482"/>
      <c r="DH26" s="482"/>
      <c r="DI26" s="482"/>
      <c r="DJ26" s="482"/>
      <c r="DK26" s="482"/>
      <c r="DL26" s="482"/>
      <c r="DM26" s="482"/>
      <c r="DN26" s="482"/>
      <c r="DO26" s="482"/>
      <c r="DP26" s="482"/>
      <c r="DQ26" s="482"/>
      <c r="DR26" s="482"/>
      <c r="DS26" s="482"/>
      <c r="DT26" s="482"/>
      <c r="DU26" s="482"/>
      <c r="DV26" s="482"/>
      <c r="DW26" s="482"/>
      <c r="DX26" s="482"/>
      <c r="DY26" s="482"/>
      <c r="DZ26" s="482"/>
      <c r="EA26" s="482"/>
      <c r="EB26" s="482"/>
      <c r="EC26" s="482"/>
      <c r="ED26" s="482"/>
      <c r="EE26" s="482"/>
      <c r="EF26" s="482"/>
      <c r="EG26" s="482"/>
      <c r="EH26" s="482"/>
      <c r="EI26" s="482"/>
      <c r="EJ26" s="482"/>
      <c r="EK26" s="482"/>
      <c r="EL26" s="482"/>
      <c r="EM26" s="482"/>
      <c r="EN26" s="482"/>
      <c r="EO26" s="482"/>
      <c r="EP26" s="482"/>
      <c r="EQ26" s="482"/>
      <c r="ER26" s="482"/>
      <c r="ES26" s="482"/>
      <c r="ET26" s="482"/>
      <c r="EU26" s="482"/>
      <c r="EV26" s="482"/>
      <c r="EW26" s="482"/>
      <c r="EX26" s="482"/>
      <c r="EY26" s="482"/>
      <c r="EZ26" s="482"/>
      <c r="FA26" s="482"/>
      <c r="FB26" s="482"/>
      <c r="FC26" s="482"/>
      <c r="FD26" s="482"/>
      <c r="FE26" s="482"/>
      <c r="FF26" s="482"/>
      <c r="FG26" s="482"/>
      <c r="FH26" s="482"/>
      <c r="FI26" s="482"/>
      <c r="FJ26" s="482"/>
      <c r="FK26" s="482"/>
      <c r="FL26" s="482"/>
      <c r="FM26" s="482"/>
      <c r="FN26" s="482"/>
      <c r="FO26" s="482"/>
      <c r="FP26" s="482"/>
      <c r="FQ26" s="482"/>
      <c r="FR26" s="482"/>
      <c r="FS26" s="482"/>
      <c r="FT26" s="482"/>
      <c r="FU26" s="482"/>
      <c r="FV26" s="482"/>
      <c r="FW26" s="482"/>
      <c r="FX26" s="482"/>
      <c r="FY26" s="482"/>
      <c r="FZ26" s="482"/>
      <c r="GA26" s="482"/>
      <c r="GB26" s="482"/>
      <c r="GC26" s="482"/>
      <c r="GD26" s="482"/>
      <c r="GE26" s="482"/>
      <c r="GF26" s="482"/>
      <c r="GG26" s="482"/>
      <c r="GH26" s="482"/>
      <c r="GI26" s="482"/>
      <c r="GJ26" s="482"/>
      <c r="GK26" s="482"/>
      <c r="GL26" s="482"/>
      <c r="GM26" s="482"/>
      <c r="GN26" s="482"/>
      <c r="GO26" s="482"/>
      <c r="GP26" s="482"/>
      <c r="GQ26" s="482"/>
      <c r="GR26" s="482"/>
      <c r="GS26" s="482"/>
      <c r="GT26" s="482"/>
      <c r="GU26" s="482"/>
      <c r="GV26" s="482"/>
      <c r="GW26" s="482"/>
      <c r="GX26" s="482"/>
      <c r="GY26" s="482"/>
      <c r="GZ26" s="482"/>
      <c r="HA26" s="482"/>
      <c r="HB26" s="482"/>
      <c r="HC26" s="482"/>
      <c r="HD26" s="482"/>
      <c r="HE26" s="482"/>
      <c r="HF26" s="482"/>
      <c r="HG26" s="482"/>
      <c r="HH26" s="482"/>
      <c r="HI26" s="482"/>
      <c r="HJ26" s="482"/>
      <c r="HK26" s="482"/>
      <c r="HL26" s="482"/>
      <c r="HM26" s="482"/>
      <c r="HN26" s="482"/>
      <c r="HO26" s="482"/>
      <c r="HP26" s="482"/>
      <c r="HQ26" s="482"/>
      <c r="HR26" s="482"/>
      <c r="HS26" s="482"/>
      <c r="HT26" s="482"/>
      <c r="HU26" s="482"/>
      <c r="HV26" s="482"/>
      <c r="HW26" s="482"/>
      <c r="HX26" s="482"/>
      <c r="HY26" s="482"/>
      <c r="HZ26" s="482"/>
      <c r="IA26" s="482"/>
      <c r="IB26" s="482"/>
      <c r="IC26" s="482"/>
      <c r="ID26" s="482"/>
      <c r="IE26" s="482"/>
      <c r="IF26" s="482"/>
      <c r="IG26" s="482"/>
      <c r="IH26" s="482"/>
      <c r="II26" s="482"/>
      <c r="IJ26" s="482"/>
      <c r="IK26" s="482"/>
      <c r="IL26" s="482"/>
      <c r="IM26" s="482"/>
      <c r="IN26" s="482"/>
      <c r="IO26" s="482"/>
      <c r="IP26" s="482"/>
      <c r="IQ26" s="482"/>
      <c r="IR26" s="482"/>
    </row>
    <row r="27" spans="1:252" ht="17.25" customHeight="1">
      <c r="A27" s="640"/>
      <c r="B27" s="656" t="s">
        <v>999</v>
      </c>
      <c r="C27" s="504"/>
      <c r="D27" s="489"/>
      <c r="E27" s="490"/>
      <c r="F27" s="490"/>
      <c r="G27" s="504"/>
      <c r="H27" s="489"/>
      <c r="I27" s="490"/>
      <c r="J27" s="490"/>
      <c r="K27" s="490"/>
      <c r="L27" s="490"/>
      <c r="M27" s="490"/>
      <c r="N27" s="490"/>
      <c r="O27" s="490">
        <v>1384</v>
      </c>
      <c r="P27" s="646">
        <v>1384</v>
      </c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/>
      <c r="BV27" s="482"/>
      <c r="BW27" s="482"/>
      <c r="BX27" s="482"/>
      <c r="BY27" s="482"/>
      <c r="BZ27" s="482"/>
      <c r="CA27" s="482"/>
      <c r="CB27" s="482"/>
      <c r="CC27" s="482"/>
      <c r="CD27" s="482"/>
      <c r="CE27" s="482"/>
      <c r="CF27" s="482"/>
      <c r="CG27" s="482"/>
      <c r="CH27" s="482"/>
      <c r="CI27" s="482"/>
      <c r="CJ27" s="482"/>
      <c r="CK27" s="482"/>
      <c r="CL27" s="482"/>
      <c r="CM27" s="482"/>
      <c r="CN27" s="482"/>
      <c r="CO27" s="482"/>
      <c r="CP27" s="482"/>
      <c r="CQ27" s="482"/>
      <c r="CR27" s="482"/>
      <c r="CS27" s="482"/>
      <c r="CT27" s="482"/>
      <c r="CU27" s="482"/>
      <c r="CV27" s="482"/>
      <c r="CW27" s="482"/>
      <c r="CX27" s="482"/>
      <c r="CY27" s="482"/>
      <c r="CZ27" s="482"/>
      <c r="DA27" s="482"/>
      <c r="DB27" s="482"/>
      <c r="DC27" s="482"/>
      <c r="DD27" s="482"/>
      <c r="DE27" s="482"/>
      <c r="DF27" s="482"/>
      <c r="DG27" s="482"/>
      <c r="DH27" s="482"/>
      <c r="DI27" s="482"/>
      <c r="DJ27" s="482"/>
      <c r="DK27" s="482"/>
      <c r="DL27" s="482"/>
      <c r="DM27" s="482"/>
      <c r="DN27" s="482"/>
      <c r="DO27" s="482"/>
      <c r="DP27" s="482"/>
      <c r="DQ27" s="482"/>
      <c r="DR27" s="482"/>
      <c r="DS27" s="482"/>
      <c r="DT27" s="482"/>
      <c r="DU27" s="482"/>
      <c r="DV27" s="482"/>
      <c r="DW27" s="482"/>
      <c r="DX27" s="482"/>
      <c r="DY27" s="482"/>
      <c r="DZ27" s="482"/>
      <c r="EA27" s="482"/>
      <c r="EB27" s="482"/>
      <c r="EC27" s="482"/>
      <c r="ED27" s="482"/>
      <c r="EE27" s="482"/>
      <c r="EF27" s="482"/>
      <c r="EG27" s="482"/>
      <c r="EH27" s="482"/>
      <c r="EI27" s="482"/>
      <c r="EJ27" s="482"/>
      <c r="EK27" s="482"/>
      <c r="EL27" s="482"/>
      <c r="EM27" s="482"/>
      <c r="EN27" s="482"/>
      <c r="EO27" s="482"/>
      <c r="EP27" s="482"/>
      <c r="EQ27" s="482"/>
      <c r="ER27" s="482"/>
      <c r="ES27" s="482"/>
      <c r="ET27" s="482"/>
      <c r="EU27" s="482"/>
      <c r="EV27" s="482"/>
      <c r="EW27" s="482"/>
      <c r="EX27" s="482"/>
      <c r="EY27" s="482"/>
      <c r="EZ27" s="482"/>
      <c r="FA27" s="482"/>
      <c r="FB27" s="482"/>
      <c r="FC27" s="482"/>
      <c r="FD27" s="482"/>
      <c r="FE27" s="482"/>
      <c r="FF27" s="482"/>
      <c r="FG27" s="482"/>
      <c r="FH27" s="482"/>
      <c r="FI27" s="482"/>
      <c r="FJ27" s="482"/>
      <c r="FK27" s="482"/>
      <c r="FL27" s="482"/>
      <c r="FM27" s="482"/>
      <c r="FN27" s="482"/>
      <c r="FO27" s="482"/>
      <c r="FP27" s="482"/>
      <c r="FQ27" s="482"/>
      <c r="FR27" s="482"/>
      <c r="FS27" s="482"/>
      <c r="FT27" s="482"/>
      <c r="FU27" s="482"/>
      <c r="FV27" s="482"/>
      <c r="FW27" s="482"/>
      <c r="FX27" s="482"/>
      <c r="FY27" s="482"/>
      <c r="FZ27" s="482"/>
      <c r="GA27" s="482"/>
      <c r="GB27" s="482"/>
      <c r="GC27" s="482"/>
      <c r="GD27" s="482"/>
      <c r="GE27" s="482"/>
      <c r="GF27" s="482"/>
      <c r="GG27" s="482"/>
      <c r="GH27" s="482"/>
      <c r="GI27" s="482"/>
      <c r="GJ27" s="482"/>
      <c r="GK27" s="482"/>
      <c r="GL27" s="482"/>
      <c r="GM27" s="482"/>
      <c r="GN27" s="482"/>
      <c r="GO27" s="482"/>
      <c r="GP27" s="482"/>
      <c r="GQ27" s="482"/>
      <c r="GR27" s="482"/>
      <c r="GS27" s="482"/>
      <c r="GT27" s="482"/>
      <c r="GU27" s="482"/>
      <c r="GV27" s="482"/>
      <c r="GW27" s="482"/>
      <c r="GX27" s="482"/>
      <c r="GY27" s="482"/>
      <c r="GZ27" s="482"/>
      <c r="HA27" s="482"/>
      <c r="HB27" s="482"/>
      <c r="HC27" s="482"/>
      <c r="HD27" s="482"/>
      <c r="HE27" s="482"/>
      <c r="HF27" s="482"/>
      <c r="HG27" s="482"/>
      <c r="HH27" s="482"/>
      <c r="HI27" s="482"/>
      <c r="HJ27" s="482"/>
      <c r="HK27" s="482"/>
      <c r="HL27" s="482"/>
      <c r="HM27" s="482"/>
      <c r="HN27" s="482"/>
      <c r="HO27" s="482"/>
      <c r="HP27" s="482"/>
      <c r="HQ27" s="482"/>
      <c r="HR27" s="482"/>
      <c r="HS27" s="482"/>
      <c r="HT27" s="482"/>
      <c r="HU27" s="482"/>
      <c r="HV27" s="482"/>
      <c r="HW27" s="482"/>
      <c r="HX27" s="482"/>
      <c r="HY27" s="482"/>
      <c r="HZ27" s="482"/>
      <c r="IA27" s="482"/>
      <c r="IB27" s="482"/>
      <c r="IC27" s="482"/>
      <c r="ID27" s="482"/>
      <c r="IE27" s="482"/>
      <c r="IF27" s="482"/>
      <c r="IG27" s="482"/>
      <c r="IH27" s="482"/>
      <c r="II27" s="482"/>
      <c r="IJ27" s="482"/>
      <c r="IK27" s="482"/>
      <c r="IL27" s="482"/>
      <c r="IM27" s="482"/>
      <c r="IN27" s="482"/>
      <c r="IO27" s="482"/>
      <c r="IP27" s="482"/>
      <c r="IQ27" s="482"/>
      <c r="IR27" s="482"/>
    </row>
    <row r="28" spans="1:252" ht="29.25" customHeight="1">
      <c r="A28" s="640"/>
      <c r="B28" s="656" t="s">
        <v>1000</v>
      </c>
      <c r="C28" s="504"/>
      <c r="D28" s="489"/>
      <c r="E28" s="490"/>
      <c r="F28" s="490"/>
      <c r="G28" s="504"/>
      <c r="H28" s="489"/>
      <c r="I28" s="490"/>
      <c r="J28" s="490"/>
      <c r="K28" s="490"/>
      <c r="L28" s="490"/>
      <c r="M28" s="490"/>
      <c r="N28" s="490"/>
      <c r="O28" s="490">
        <v>35</v>
      </c>
      <c r="P28" s="646">
        <v>35</v>
      </c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2"/>
      <c r="AY28" s="482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2"/>
      <c r="BZ28" s="482"/>
      <c r="CA28" s="482"/>
      <c r="CB28" s="482"/>
      <c r="CC28" s="482"/>
      <c r="CD28" s="482"/>
      <c r="CE28" s="482"/>
      <c r="CF28" s="482"/>
      <c r="CG28" s="482"/>
      <c r="CH28" s="482"/>
      <c r="CI28" s="482"/>
      <c r="CJ28" s="482"/>
      <c r="CK28" s="482"/>
      <c r="CL28" s="482"/>
      <c r="CM28" s="482"/>
      <c r="CN28" s="482"/>
      <c r="CO28" s="482"/>
      <c r="CP28" s="482"/>
      <c r="CQ28" s="482"/>
      <c r="CR28" s="482"/>
      <c r="CS28" s="482"/>
      <c r="CT28" s="482"/>
      <c r="CU28" s="482"/>
      <c r="CV28" s="482"/>
      <c r="CW28" s="482"/>
      <c r="CX28" s="482"/>
      <c r="CY28" s="482"/>
      <c r="CZ28" s="482"/>
      <c r="DA28" s="482"/>
      <c r="DB28" s="482"/>
      <c r="DC28" s="482"/>
      <c r="DD28" s="482"/>
      <c r="DE28" s="482"/>
      <c r="DF28" s="482"/>
      <c r="DG28" s="482"/>
      <c r="DH28" s="482"/>
      <c r="DI28" s="482"/>
      <c r="DJ28" s="482"/>
      <c r="DK28" s="482"/>
      <c r="DL28" s="482"/>
      <c r="DM28" s="482"/>
      <c r="DN28" s="482"/>
      <c r="DO28" s="482"/>
      <c r="DP28" s="482"/>
      <c r="DQ28" s="482"/>
      <c r="DR28" s="482"/>
      <c r="DS28" s="482"/>
      <c r="DT28" s="482"/>
      <c r="DU28" s="482"/>
      <c r="DV28" s="482"/>
      <c r="DW28" s="482"/>
      <c r="DX28" s="482"/>
      <c r="DY28" s="482"/>
      <c r="DZ28" s="482"/>
      <c r="EA28" s="482"/>
      <c r="EB28" s="482"/>
      <c r="EC28" s="482"/>
      <c r="ED28" s="482"/>
      <c r="EE28" s="482"/>
      <c r="EF28" s="482"/>
      <c r="EG28" s="482"/>
      <c r="EH28" s="482"/>
      <c r="EI28" s="482"/>
      <c r="EJ28" s="482"/>
      <c r="EK28" s="482"/>
      <c r="EL28" s="482"/>
      <c r="EM28" s="482"/>
      <c r="EN28" s="482"/>
      <c r="EO28" s="482"/>
      <c r="EP28" s="482"/>
      <c r="EQ28" s="482"/>
      <c r="ER28" s="482"/>
      <c r="ES28" s="482"/>
      <c r="ET28" s="482"/>
      <c r="EU28" s="482"/>
      <c r="EV28" s="482"/>
      <c r="EW28" s="482"/>
      <c r="EX28" s="482"/>
      <c r="EY28" s="482"/>
      <c r="EZ28" s="482"/>
      <c r="FA28" s="482"/>
      <c r="FB28" s="482"/>
      <c r="FC28" s="482"/>
      <c r="FD28" s="482"/>
      <c r="FE28" s="482"/>
      <c r="FF28" s="482"/>
      <c r="FG28" s="482"/>
      <c r="FH28" s="482"/>
      <c r="FI28" s="482"/>
      <c r="FJ28" s="482"/>
      <c r="FK28" s="482"/>
      <c r="FL28" s="482"/>
      <c r="FM28" s="482"/>
      <c r="FN28" s="482"/>
      <c r="FO28" s="482"/>
      <c r="FP28" s="482"/>
      <c r="FQ28" s="482"/>
      <c r="FR28" s="482"/>
      <c r="FS28" s="482"/>
      <c r="FT28" s="482"/>
      <c r="FU28" s="482"/>
      <c r="FV28" s="482"/>
      <c r="FW28" s="482"/>
      <c r="FX28" s="482"/>
      <c r="FY28" s="482"/>
      <c r="FZ28" s="482"/>
      <c r="GA28" s="482"/>
      <c r="GB28" s="482"/>
      <c r="GC28" s="482"/>
      <c r="GD28" s="482"/>
      <c r="GE28" s="482"/>
      <c r="GF28" s="482"/>
      <c r="GG28" s="482"/>
      <c r="GH28" s="482"/>
      <c r="GI28" s="482"/>
      <c r="GJ28" s="482"/>
      <c r="GK28" s="482"/>
      <c r="GL28" s="482"/>
      <c r="GM28" s="482"/>
      <c r="GN28" s="482"/>
      <c r="GO28" s="482"/>
      <c r="GP28" s="482"/>
      <c r="GQ28" s="482"/>
      <c r="GR28" s="482"/>
      <c r="GS28" s="482"/>
      <c r="GT28" s="482"/>
      <c r="GU28" s="482"/>
      <c r="GV28" s="482"/>
      <c r="GW28" s="482"/>
      <c r="GX28" s="482"/>
      <c r="GY28" s="482"/>
      <c r="GZ28" s="482"/>
      <c r="HA28" s="482"/>
      <c r="HB28" s="482"/>
      <c r="HC28" s="482"/>
      <c r="HD28" s="482"/>
      <c r="HE28" s="482"/>
      <c r="HF28" s="482"/>
      <c r="HG28" s="482"/>
      <c r="HH28" s="482"/>
      <c r="HI28" s="482"/>
      <c r="HJ28" s="482"/>
      <c r="HK28" s="482"/>
      <c r="HL28" s="482"/>
      <c r="HM28" s="482"/>
      <c r="HN28" s="482"/>
      <c r="HO28" s="482"/>
      <c r="HP28" s="482"/>
      <c r="HQ28" s="482"/>
      <c r="HR28" s="482"/>
      <c r="HS28" s="482"/>
      <c r="HT28" s="482"/>
      <c r="HU28" s="482"/>
      <c r="HV28" s="482"/>
      <c r="HW28" s="482"/>
      <c r="HX28" s="482"/>
      <c r="HY28" s="482"/>
      <c r="HZ28" s="482"/>
      <c r="IA28" s="482"/>
      <c r="IB28" s="482"/>
      <c r="IC28" s="482"/>
      <c r="ID28" s="482"/>
      <c r="IE28" s="482"/>
      <c r="IF28" s="482"/>
      <c r="IG28" s="482"/>
      <c r="IH28" s="482"/>
      <c r="II28" s="482"/>
      <c r="IJ28" s="482"/>
      <c r="IK28" s="482"/>
      <c r="IL28" s="482"/>
      <c r="IM28" s="482"/>
      <c r="IN28" s="482"/>
      <c r="IO28" s="482"/>
      <c r="IP28" s="482"/>
      <c r="IQ28" s="482"/>
      <c r="IR28" s="482"/>
    </row>
    <row r="29" spans="1:252" ht="28.5" customHeight="1">
      <c r="A29" s="652" t="s">
        <v>867</v>
      </c>
      <c r="B29" s="657" t="s">
        <v>874</v>
      </c>
      <c r="C29" s="503"/>
      <c r="D29" s="489"/>
      <c r="E29" s="490"/>
      <c r="F29" s="654">
        <f>SUM(F22:F26)</f>
        <v>277487200</v>
      </c>
      <c r="G29" s="503"/>
      <c r="H29" s="489"/>
      <c r="I29" s="490"/>
      <c r="J29" s="654">
        <f>SUM(J22:J26)</f>
        <v>279463600</v>
      </c>
      <c r="K29" s="654">
        <f>SUM(K22:K26)</f>
        <v>279464</v>
      </c>
      <c r="L29" s="654">
        <f>SUM(L22:L26)</f>
        <v>279464</v>
      </c>
      <c r="M29" s="654">
        <f>SUM(M22:M26)</f>
        <v>280436</v>
      </c>
      <c r="N29" s="654">
        <f>SUM(N22:N26)</f>
        <v>280436</v>
      </c>
      <c r="O29" s="654">
        <f>SUM(O22:O28)</f>
        <v>279895</v>
      </c>
      <c r="P29" s="655">
        <f>SUM(P22:P28)</f>
        <v>279895</v>
      </c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2"/>
      <c r="BM29" s="482"/>
      <c r="BN29" s="482"/>
      <c r="BO29" s="482"/>
      <c r="BP29" s="482"/>
      <c r="BQ29" s="482"/>
      <c r="BR29" s="482"/>
      <c r="BS29" s="482"/>
      <c r="BT29" s="482"/>
      <c r="BU29" s="482"/>
      <c r="BV29" s="482"/>
      <c r="BW29" s="482"/>
      <c r="BX29" s="482"/>
      <c r="BY29" s="482"/>
      <c r="BZ29" s="482"/>
      <c r="CA29" s="482"/>
      <c r="CB29" s="482"/>
      <c r="CC29" s="482"/>
      <c r="CD29" s="482"/>
      <c r="CE29" s="482"/>
      <c r="CF29" s="482"/>
      <c r="CG29" s="482"/>
      <c r="CH29" s="482"/>
      <c r="CI29" s="482"/>
      <c r="CJ29" s="482"/>
      <c r="CK29" s="482"/>
      <c r="CL29" s="482"/>
      <c r="CM29" s="482"/>
      <c r="CN29" s="482"/>
      <c r="CO29" s="482"/>
      <c r="CP29" s="482"/>
      <c r="CQ29" s="482"/>
      <c r="CR29" s="482"/>
      <c r="CS29" s="482"/>
      <c r="CT29" s="482"/>
      <c r="CU29" s="482"/>
      <c r="CV29" s="482"/>
      <c r="CW29" s="482"/>
      <c r="CX29" s="482"/>
      <c r="CY29" s="482"/>
      <c r="CZ29" s="482"/>
      <c r="DA29" s="482"/>
      <c r="DB29" s="482"/>
      <c r="DC29" s="482"/>
      <c r="DD29" s="482"/>
      <c r="DE29" s="482"/>
      <c r="DF29" s="482"/>
      <c r="DG29" s="482"/>
      <c r="DH29" s="482"/>
      <c r="DI29" s="482"/>
      <c r="DJ29" s="482"/>
      <c r="DK29" s="482"/>
      <c r="DL29" s="482"/>
      <c r="DM29" s="482"/>
      <c r="DN29" s="482"/>
      <c r="DO29" s="482"/>
      <c r="DP29" s="482"/>
      <c r="DQ29" s="482"/>
      <c r="DR29" s="482"/>
      <c r="DS29" s="482"/>
      <c r="DT29" s="482"/>
      <c r="DU29" s="482"/>
      <c r="DV29" s="482"/>
      <c r="DW29" s="482"/>
      <c r="DX29" s="482"/>
      <c r="DY29" s="482"/>
      <c r="DZ29" s="482"/>
      <c r="EA29" s="482"/>
      <c r="EB29" s="482"/>
      <c r="EC29" s="482"/>
      <c r="ED29" s="482"/>
      <c r="EE29" s="482"/>
      <c r="EF29" s="482"/>
      <c r="EG29" s="482"/>
      <c r="EH29" s="482"/>
      <c r="EI29" s="482"/>
      <c r="EJ29" s="482"/>
      <c r="EK29" s="482"/>
      <c r="EL29" s="482"/>
      <c r="EM29" s="482"/>
      <c r="EN29" s="482"/>
      <c r="EO29" s="482"/>
      <c r="EP29" s="482"/>
      <c r="EQ29" s="482"/>
      <c r="ER29" s="482"/>
      <c r="ES29" s="482"/>
      <c r="ET29" s="482"/>
      <c r="EU29" s="482"/>
      <c r="EV29" s="482"/>
      <c r="EW29" s="482"/>
      <c r="EX29" s="482"/>
      <c r="EY29" s="482"/>
      <c r="EZ29" s="482"/>
      <c r="FA29" s="482"/>
      <c r="FB29" s="482"/>
      <c r="FC29" s="482"/>
      <c r="FD29" s="482"/>
      <c r="FE29" s="482"/>
      <c r="FF29" s="482"/>
      <c r="FG29" s="482"/>
      <c r="FH29" s="482"/>
      <c r="FI29" s="482"/>
      <c r="FJ29" s="482"/>
      <c r="FK29" s="482"/>
      <c r="FL29" s="482"/>
      <c r="FM29" s="482"/>
      <c r="FN29" s="482"/>
      <c r="FO29" s="482"/>
      <c r="FP29" s="482"/>
      <c r="FQ29" s="482"/>
      <c r="FR29" s="482"/>
      <c r="FS29" s="482"/>
      <c r="FT29" s="482"/>
      <c r="FU29" s="482"/>
      <c r="FV29" s="482"/>
      <c r="FW29" s="482"/>
      <c r="FX29" s="482"/>
      <c r="FY29" s="482"/>
      <c r="FZ29" s="482"/>
      <c r="GA29" s="482"/>
      <c r="GB29" s="482"/>
      <c r="GC29" s="482"/>
      <c r="GD29" s="482"/>
      <c r="GE29" s="482"/>
      <c r="GF29" s="482"/>
      <c r="GG29" s="482"/>
      <c r="GH29" s="482"/>
      <c r="GI29" s="482"/>
      <c r="GJ29" s="482"/>
      <c r="GK29" s="482"/>
      <c r="GL29" s="482"/>
      <c r="GM29" s="482"/>
      <c r="GN29" s="482"/>
      <c r="GO29" s="482"/>
      <c r="GP29" s="482"/>
      <c r="GQ29" s="482"/>
      <c r="GR29" s="482"/>
      <c r="GS29" s="482"/>
      <c r="GT29" s="482"/>
      <c r="GU29" s="482"/>
      <c r="GV29" s="482"/>
      <c r="GW29" s="482"/>
      <c r="GX29" s="482"/>
      <c r="GY29" s="482"/>
      <c r="GZ29" s="482"/>
      <c r="HA29" s="482"/>
      <c r="HB29" s="482"/>
      <c r="HC29" s="482"/>
      <c r="HD29" s="482"/>
      <c r="HE29" s="482"/>
      <c r="HF29" s="482"/>
      <c r="HG29" s="482"/>
      <c r="HH29" s="482"/>
      <c r="HI29" s="482"/>
      <c r="HJ29" s="482"/>
      <c r="HK29" s="482"/>
      <c r="HL29" s="482"/>
      <c r="HM29" s="482"/>
      <c r="HN29" s="482"/>
      <c r="HO29" s="482"/>
      <c r="HP29" s="482"/>
      <c r="HQ29" s="482"/>
      <c r="HR29" s="482"/>
      <c r="HS29" s="482"/>
      <c r="HT29" s="482"/>
      <c r="HU29" s="482"/>
      <c r="HV29" s="482"/>
      <c r="HW29" s="482"/>
      <c r="HX29" s="482"/>
      <c r="HY29" s="482"/>
      <c r="HZ29" s="482"/>
      <c r="IA29" s="482"/>
      <c r="IB29" s="482"/>
      <c r="IC29" s="482"/>
      <c r="ID29" s="482"/>
      <c r="IE29" s="482"/>
      <c r="IF29" s="482"/>
      <c r="IG29" s="482"/>
      <c r="IH29" s="482"/>
      <c r="II29" s="482"/>
      <c r="IJ29" s="482"/>
      <c r="IK29" s="482"/>
      <c r="IL29" s="482"/>
      <c r="IM29" s="482"/>
      <c r="IN29" s="482"/>
      <c r="IO29" s="482"/>
      <c r="IP29" s="482"/>
      <c r="IQ29" s="482"/>
      <c r="IR29" s="482"/>
    </row>
    <row r="30" spans="1:252" ht="17.25" customHeight="1">
      <c r="A30" s="640" t="s">
        <v>875</v>
      </c>
      <c r="B30" s="645" t="s">
        <v>876</v>
      </c>
      <c r="C30" s="498"/>
      <c r="D30" s="489"/>
      <c r="E30" s="490"/>
      <c r="F30" s="642"/>
      <c r="G30" s="498"/>
      <c r="H30" s="489"/>
      <c r="I30" s="490"/>
      <c r="J30" s="642"/>
      <c r="K30" s="642"/>
      <c r="L30" s="642"/>
      <c r="M30" s="642"/>
      <c r="N30" s="642"/>
      <c r="O30" s="642"/>
      <c r="P30" s="643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  <c r="AR30" s="482"/>
      <c r="AS30" s="482"/>
      <c r="AT30" s="482"/>
      <c r="AU30" s="482"/>
      <c r="AV30" s="482"/>
      <c r="AW30" s="482"/>
      <c r="AX30" s="482"/>
      <c r="AY30" s="482"/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  <c r="BJ30" s="482"/>
      <c r="BK30" s="482"/>
      <c r="BL30" s="482"/>
      <c r="BM30" s="482"/>
      <c r="BN30" s="482"/>
      <c r="BO30" s="482"/>
      <c r="BP30" s="482"/>
      <c r="BQ30" s="482"/>
      <c r="BR30" s="482"/>
      <c r="BS30" s="482"/>
      <c r="BT30" s="482"/>
      <c r="BU30" s="482"/>
      <c r="BV30" s="482"/>
      <c r="BW30" s="482"/>
      <c r="BX30" s="482"/>
      <c r="BY30" s="482"/>
      <c r="BZ30" s="482"/>
      <c r="CA30" s="482"/>
      <c r="CB30" s="482"/>
      <c r="CC30" s="482"/>
      <c r="CD30" s="482"/>
      <c r="CE30" s="482"/>
      <c r="CF30" s="482"/>
      <c r="CG30" s="482"/>
      <c r="CH30" s="482"/>
      <c r="CI30" s="482"/>
      <c r="CJ30" s="482"/>
      <c r="CK30" s="482"/>
      <c r="CL30" s="482"/>
      <c r="CM30" s="482"/>
      <c r="CN30" s="482"/>
      <c r="CO30" s="482"/>
      <c r="CP30" s="482"/>
      <c r="CQ30" s="482"/>
      <c r="CR30" s="482"/>
      <c r="CS30" s="482"/>
      <c r="CT30" s="482"/>
      <c r="CU30" s="482"/>
      <c r="CV30" s="482"/>
      <c r="CW30" s="482"/>
      <c r="CX30" s="482"/>
      <c r="CY30" s="482"/>
      <c r="CZ30" s="482"/>
      <c r="DA30" s="482"/>
      <c r="DB30" s="482"/>
      <c r="DC30" s="482"/>
      <c r="DD30" s="482"/>
      <c r="DE30" s="482"/>
      <c r="DF30" s="482"/>
      <c r="DG30" s="482"/>
      <c r="DH30" s="482"/>
      <c r="DI30" s="482"/>
      <c r="DJ30" s="482"/>
      <c r="DK30" s="482"/>
      <c r="DL30" s="482"/>
      <c r="DM30" s="482"/>
      <c r="DN30" s="482"/>
      <c r="DO30" s="482"/>
      <c r="DP30" s="482"/>
      <c r="DQ30" s="482"/>
      <c r="DR30" s="482"/>
      <c r="DS30" s="482"/>
      <c r="DT30" s="482"/>
      <c r="DU30" s="482"/>
      <c r="DV30" s="482"/>
      <c r="DW30" s="482"/>
      <c r="DX30" s="482"/>
      <c r="DY30" s="482"/>
      <c r="DZ30" s="482"/>
      <c r="EA30" s="482"/>
      <c r="EB30" s="482"/>
      <c r="EC30" s="482"/>
      <c r="ED30" s="482"/>
      <c r="EE30" s="482"/>
      <c r="EF30" s="482"/>
      <c r="EG30" s="482"/>
      <c r="EH30" s="482"/>
      <c r="EI30" s="482"/>
      <c r="EJ30" s="482"/>
      <c r="EK30" s="482"/>
      <c r="EL30" s="482"/>
      <c r="EM30" s="482"/>
      <c r="EN30" s="482"/>
      <c r="EO30" s="482"/>
      <c r="EP30" s="482"/>
      <c r="EQ30" s="482"/>
      <c r="ER30" s="482"/>
      <c r="ES30" s="482"/>
      <c r="ET30" s="482"/>
      <c r="EU30" s="482"/>
      <c r="EV30" s="482"/>
      <c r="EW30" s="482"/>
      <c r="EX30" s="482"/>
      <c r="EY30" s="482"/>
      <c r="EZ30" s="482"/>
      <c r="FA30" s="482"/>
      <c r="FB30" s="482"/>
      <c r="FC30" s="482"/>
      <c r="FD30" s="482"/>
      <c r="FE30" s="482"/>
      <c r="FF30" s="482"/>
      <c r="FG30" s="482"/>
      <c r="FH30" s="482"/>
      <c r="FI30" s="482"/>
      <c r="FJ30" s="482"/>
      <c r="FK30" s="482"/>
      <c r="FL30" s="482"/>
      <c r="FM30" s="482"/>
      <c r="FN30" s="482"/>
      <c r="FO30" s="482"/>
      <c r="FP30" s="482"/>
      <c r="FQ30" s="482"/>
      <c r="FR30" s="482"/>
      <c r="FS30" s="482"/>
      <c r="FT30" s="482"/>
      <c r="FU30" s="482"/>
      <c r="FV30" s="482"/>
      <c r="FW30" s="482"/>
      <c r="FX30" s="482"/>
      <c r="FY30" s="482"/>
      <c r="FZ30" s="482"/>
      <c r="GA30" s="482"/>
      <c r="GB30" s="482"/>
      <c r="GC30" s="482"/>
      <c r="GD30" s="482"/>
      <c r="GE30" s="482"/>
      <c r="GF30" s="482"/>
      <c r="GG30" s="482"/>
      <c r="GH30" s="482"/>
      <c r="GI30" s="482"/>
      <c r="GJ30" s="482"/>
      <c r="GK30" s="482"/>
      <c r="GL30" s="482"/>
      <c r="GM30" s="482"/>
      <c r="GN30" s="482"/>
      <c r="GO30" s="482"/>
      <c r="GP30" s="482"/>
      <c r="GQ30" s="482"/>
      <c r="GR30" s="482"/>
      <c r="GS30" s="482"/>
      <c r="GT30" s="482"/>
      <c r="GU30" s="482"/>
      <c r="GV30" s="482"/>
      <c r="GW30" s="482"/>
      <c r="GX30" s="482"/>
      <c r="GY30" s="482"/>
      <c r="GZ30" s="482"/>
      <c r="HA30" s="482"/>
      <c r="HB30" s="482"/>
      <c r="HC30" s="482"/>
      <c r="HD30" s="482"/>
      <c r="HE30" s="482"/>
      <c r="HF30" s="482"/>
      <c r="HG30" s="482"/>
      <c r="HH30" s="482"/>
      <c r="HI30" s="482"/>
      <c r="HJ30" s="482"/>
      <c r="HK30" s="482"/>
      <c r="HL30" s="482"/>
      <c r="HM30" s="482"/>
      <c r="HN30" s="482"/>
      <c r="HO30" s="482"/>
      <c r="HP30" s="482"/>
      <c r="HQ30" s="482"/>
      <c r="HR30" s="482"/>
      <c r="HS30" s="482"/>
      <c r="HT30" s="482"/>
      <c r="HU30" s="482"/>
      <c r="HV30" s="482"/>
      <c r="HW30" s="482"/>
      <c r="HX30" s="482"/>
      <c r="HY30" s="482"/>
      <c r="HZ30" s="482"/>
      <c r="IA30" s="482"/>
      <c r="IB30" s="482"/>
      <c r="IC30" s="482"/>
      <c r="ID30" s="482"/>
      <c r="IE30" s="482"/>
      <c r="IF30" s="482"/>
      <c r="IG30" s="482"/>
      <c r="IH30" s="482"/>
      <c r="II30" s="482"/>
      <c r="IJ30" s="482"/>
      <c r="IK30" s="482"/>
      <c r="IL30" s="482"/>
      <c r="IM30" s="482"/>
      <c r="IN30" s="482"/>
      <c r="IO30" s="482"/>
      <c r="IP30" s="482"/>
      <c r="IQ30" s="482"/>
      <c r="IR30" s="482"/>
    </row>
    <row r="31" spans="1:252" ht="17.25" customHeight="1">
      <c r="A31" s="640"/>
      <c r="B31" s="645" t="s">
        <v>877</v>
      </c>
      <c r="C31" s="498">
        <v>6</v>
      </c>
      <c r="D31" s="489" t="s">
        <v>832</v>
      </c>
      <c r="E31" s="490">
        <v>56000</v>
      </c>
      <c r="F31" s="490">
        <f>C31*E31*8/12</f>
        <v>224000</v>
      </c>
      <c r="G31" s="498">
        <v>4</v>
      </c>
      <c r="H31" s="489" t="s">
        <v>832</v>
      </c>
      <c r="I31" s="490">
        <v>70000</v>
      </c>
      <c r="J31" s="490">
        <f>G31*I31/12*8</f>
        <v>186666.66666666666</v>
      </c>
      <c r="K31" s="490">
        <v>187</v>
      </c>
      <c r="L31" s="490">
        <v>187</v>
      </c>
      <c r="M31" s="490">
        <f>187-47</f>
        <v>140</v>
      </c>
      <c r="N31" s="490">
        <f>187-47</f>
        <v>140</v>
      </c>
      <c r="O31" s="490">
        <f>187-47</f>
        <v>140</v>
      </c>
      <c r="P31" s="646">
        <v>140</v>
      </c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2"/>
      <c r="BB31" s="482"/>
      <c r="BC31" s="482"/>
      <c r="BD31" s="482"/>
      <c r="BE31" s="482"/>
      <c r="BF31" s="482"/>
      <c r="BG31" s="482"/>
      <c r="BH31" s="482"/>
      <c r="BI31" s="482"/>
      <c r="BJ31" s="482"/>
      <c r="BK31" s="482"/>
      <c r="BL31" s="482"/>
      <c r="BM31" s="482"/>
      <c r="BN31" s="482"/>
      <c r="BO31" s="482"/>
      <c r="BP31" s="482"/>
      <c r="BQ31" s="482"/>
      <c r="BR31" s="482"/>
      <c r="BS31" s="482"/>
      <c r="BT31" s="482"/>
      <c r="BU31" s="482"/>
      <c r="BV31" s="482"/>
      <c r="BW31" s="482"/>
      <c r="BX31" s="482"/>
      <c r="BY31" s="482"/>
      <c r="BZ31" s="482"/>
      <c r="CA31" s="482"/>
      <c r="CB31" s="482"/>
      <c r="CC31" s="482"/>
      <c r="CD31" s="482"/>
      <c r="CE31" s="482"/>
      <c r="CF31" s="482"/>
      <c r="CG31" s="482"/>
      <c r="CH31" s="482"/>
      <c r="CI31" s="482"/>
      <c r="CJ31" s="482"/>
      <c r="CK31" s="482"/>
      <c r="CL31" s="482"/>
      <c r="CM31" s="482"/>
      <c r="CN31" s="482"/>
      <c r="CO31" s="482"/>
      <c r="CP31" s="482"/>
      <c r="CQ31" s="482"/>
      <c r="CR31" s="482"/>
      <c r="CS31" s="482"/>
      <c r="CT31" s="482"/>
      <c r="CU31" s="482"/>
      <c r="CV31" s="482"/>
      <c r="CW31" s="482"/>
      <c r="CX31" s="482"/>
      <c r="CY31" s="482"/>
      <c r="CZ31" s="482"/>
      <c r="DA31" s="482"/>
      <c r="DB31" s="482"/>
      <c r="DC31" s="482"/>
      <c r="DD31" s="482"/>
      <c r="DE31" s="482"/>
      <c r="DF31" s="482"/>
      <c r="DG31" s="482"/>
      <c r="DH31" s="482"/>
      <c r="DI31" s="482"/>
      <c r="DJ31" s="482"/>
      <c r="DK31" s="482"/>
      <c r="DL31" s="482"/>
      <c r="DM31" s="482"/>
      <c r="DN31" s="482"/>
      <c r="DO31" s="482"/>
      <c r="DP31" s="482"/>
      <c r="DQ31" s="482"/>
      <c r="DR31" s="482"/>
      <c r="DS31" s="482"/>
      <c r="DT31" s="482"/>
      <c r="DU31" s="482"/>
      <c r="DV31" s="482"/>
      <c r="DW31" s="482"/>
      <c r="DX31" s="482"/>
      <c r="DY31" s="482"/>
      <c r="DZ31" s="482"/>
      <c r="EA31" s="482"/>
      <c r="EB31" s="482"/>
      <c r="EC31" s="482"/>
      <c r="ED31" s="482"/>
      <c r="EE31" s="482"/>
      <c r="EF31" s="482"/>
      <c r="EG31" s="482"/>
      <c r="EH31" s="482"/>
      <c r="EI31" s="482"/>
      <c r="EJ31" s="482"/>
      <c r="EK31" s="482"/>
      <c r="EL31" s="482"/>
      <c r="EM31" s="482"/>
      <c r="EN31" s="482"/>
      <c r="EO31" s="482"/>
      <c r="EP31" s="482"/>
      <c r="EQ31" s="482"/>
      <c r="ER31" s="482"/>
      <c r="ES31" s="482"/>
      <c r="ET31" s="482"/>
      <c r="EU31" s="482"/>
      <c r="EV31" s="482"/>
      <c r="EW31" s="482"/>
      <c r="EX31" s="482"/>
      <c r="EY31" s="482"/>
      <c r="EZ31" s="482"/>
      <c r="FA31" s="482"/>
      <c r="FB31" s="482"/>
      <c r="FC31" s="482"/>
      <c r="FD31" s="482"/>
      <c r="FE31" s="482"/>
      <c r="FF31" s="482"/>
      <c r="FG31" s="482"/>
      <c r="FH31" s="482"/>
      <c r="FI31" s="482"/>
      <c r="FJ31" s="482"/>
      <c r="FK31" s="482"/>
      <c r="FL31" s="482"/>
      <c r="FM31" s="482"/>
      <c r="FN31" s="482"/>
      <c r="FO31" s="482"/>
      <c r="FP31" s="482"/>
      <c r="FQ31" s="482"/>
      <c r="FR31" s="482"/>
      <c r="FS31" s="482"/>
      <c r="FT31" s="482"/>
      <c r="FU31" s="482"/>
      <c r="FV31" s="482"/>
      <c r="FW31" s="482"/>
      <c r="FX31" s="482"/>
      <c r="FY31" s="482"/>
      <c r="FZ31" s="482"/>
      <c r="GA31" s="482"/>
      <c r="GB31" s="482"/>
      <c r="GC31" s="482"/>
      <c r="GD31" s="482"/>
      <c r="GE31" s="482"/>
      <c r="GF31" s="482"/>
      <c r="GG31" s="482"/>
      <c r="GH31" s="482"/>
      <c r="GI31" s="482"/>
      <c r="GJ31" s="482"/>
      <c r="GK31" s="482"/>
      <c r="GL31" s="482"/>
      <c r="GM31" s="482"/>
      <c r="GN31" s="482"/>
      <c r="GO31" s="482"/>
      <c r="GP31" s="482"/>
      <c r="GQ31" s="482"/>
      <c r="GR31" s="482"/>
      <c r="GS31" s="482"/>
      <c r="GT31" s="482"/>
      <c r="GU31" s="482"/>
      <c r="GV31" s="482"/>
      <c r="GW31" s="482"/>
      <c r="GX31" s="482"/>
      <c r="GY31" s="482"/>
      <c r="GZ31" s="482"/>
      <c r="HA31" s="482"/>
      <c r="HB31" s="482"/>
      <c r="HC31" s="482"/>
      <c r="HD31" s="482"/>
      <c r="HE31" s="482"/>
      <c r="HF31" s="482"/>
      <c r="HG31" s="482"/>
      <c r="HH31" s="482"/>
      <c r="HI31" s="482"/>
      <c r="HJ31" s="482"/>
      <c r="HK31" s="482"/>
      <c r="HL31" s="482"/>
      <c r="HM31" s="482"/>
      <c r="HN31" s="482"/>
      <c r="HO31" s="482"/>
      <c r="HP31" s="482"/>
      <c r="HQ31" s="482"/>
      <c r="HR31" s="482"/>
      <c r="HS31" s="482"/>
      <c r="HT31" s="482"/>
      <c r="HU31" s="482"/>
      <c r="HV31" s="482"/>
      <c r="HW31" s="482"/>
      <c r="HX31" s="482"/>
      <c r="HY31" s="482"/>
      <c r="HZ31" s="482"/>
      <c r="IA31" s="482"/>
      <c r="IB31" s="482"/>
      <c r="IC31" s="482"/>
      <c r="ID31" s="482"/>
      <c r="IE31" s="482"/>
      <c r="IF31" s="482"/>
      <c r="IG31" s="482"/>
      <c r="IH31" s="482"/>
      <c r="II31" s="482"/>
      <c r="IJ31" s="482"/>
      <c r="IK31" s="482"/>
      <c r="IL31" s="482"/>
      <c r="IM31" s="482"/>
      <c r="IN31" s="482"/>
      <c r="IO31" s="482"/>
      <c r="IP31" s="482"/>
      <c r="IQ31" s="482"/>
      <c r="IR31" s="482"/>
    </row>
    <row r="32" spans="1:252" ht="17.25" customHeight="1">
      <c r="A32" s="640"/>
      <c r="B32" s="645" t="s">
        <v>878</v>
      </c>
      <c r="C32" s="498">
        <v>586</v>
      </c>
      <c r="D32" s="489"/>
      <c r="E32" s="490">
        <v>56000</v>
      </c>
      <c r="F32" s="490">
        <f>C32*E32*8/12</f>
        <v>21877333.333333332</v>
      </c>
      <c r="G32" s="498">
        <v>575</v>
      </c>
      <c r="H32" s="489" t="s">
        <v>832</v>
      </c>
      <c r="I32" s="490">
        <v>70000</v>
      </c>
      <c r="J32" s="490">
        <f>G32*I32/12*8</f>
        <v>26833333.333333332</v>
      </c>
      <c r="K32" s="490">
        <v>26833</v>
      </c>
      <c r="L32" s="490">
        <v>26833</v>
      </c>
      <c r="M32" s="490">
        <f>26833+140</f>
        <v>26973</v>
      </c>
      <c r="N32" s="490">
        <f>26833+140</f>
        <v>26973</v>
      </c>
      <c r="O32" s="490">
        <f>26833+140</f>
        <v>26973</v>
      </c>
      <c r="P32" s="646">
        <v>26973</v>
      </c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  <c r="AN32" s="482"/>
      <c r="AO32" s="482"/>
      <c r="AP32" s="482"/>
      <c r="AQ32" s="482"/>
      <c r="AR32" s="482"/>
      <c r="AS32" s="482"/>
      <c r="AT32" s="482"/>
      <c r="AU32" s="482"/>
      <c r="AV32" s="482"/>
      <c r="AW32" s="482"/>
      <c r="AX32" s="482"/>
      <c r="AY32" s="482"/>
      <c r="AZ32" s="482"/>
      <c r="BA32" s="482"/>
      <c r="BB32" s="482"/>
      <c r="BC32" s="482"/>
      <c r="BD32" s="482"/>
      <c r="BE32" s="482"/>
      <c r="BF32" s="482"/>
      <c r="BG32" s="482"/>
      <c r="BH32" s="482"/>
      <c r="BI32" s="482"/>
      <c r="BJ32" s="482"/>
      <c r="BK32" s="482"/>
      <c r="BL32" s="482"/>
      <c r="BM32" s="482"/>
      <c r="BN32" s="482"/>
      <c r="BO32" s="482"/>
      <c r="BP32" s="482"/>
      <c r="BQ32" s="482"/>
      <c r="BR32" s="482"/>
      <c r="BS32" s="482"/>
      <c r="BT32" s="482"/>
      <c r="BU32" s="482"/>
      <c r="BV32" s="482"/>
      <c r="BW32" s="482"/>
      <c r="BX32" s="482"/>
      <c r="BY32" s="482"/>
      <c r="BZ32" s="482"/>
      <c r="CA32" s="482"/>
      <c r="CB32" s="482"/>
      <c r="CC32" s="482"/>
      <c r="CD32" s="482"/>
      <c r="CE32" s="482"/>
      <c r="CF32" s="482"/>
      <c r="CG32" s="482"/>
      <c r="CH32" s="482"/>
      <c r="CI32" s="482"/>
      <c r="CJ32" s="482"/>
      <c r="CK32" s="482"/>
      <c r="CL32" s="482"/>
      <c r="CM32" s="482"/>
      <c r="CN32" s="482"/>
      <c r="CO32" s="482"/>
      <c r="CP32" s="482"/>
      <c r="CQ32" s="482"/>
      <c r="CR32" s="482"/>
      <c r="CS32" s="482"/>
      <c r="CT32" s="482"/>
      <c r="CU32" s="482"/>
      <c r="CV32" s="482"/>
      <c r="CW32" s="482"/>
      <c r="CX32" s="482"/>
      <c r="CY32" s="482"/>
      <c r="CZ32" s="482"/>
      <c r="DA32" s="482"/>
      <c r="DB32" s="482"/>
      <c r="DC32" s="482"/>
      <c r="DD32" s="482"/>
      <c r="DE32" s="482"/>
      <c r="DF32" s="482"/>
      <c r="DG32" s="482"/>
      <c r="DH32" s="482"/>
      <c r="DI32" s="482"/>
      <c r="DJ32" s="482"/>
      <c r="DK32" s="482"/>
      <c r="DL32" s="482"/>
      <c r="DM32" s="482"/>
      <c r="DN32" s="482"/>
      <c r="DO32" s="482"/>
      <c r="DP32" s="482"/>
      <c r="DQ32" s="482"/>
      <c r="DR32" s="482"/>
      <c r="DS32" s="482"/>
      <c r="DT32" s="482"/>
      <c r="DU32" s="482"/>
      <c r="DV32" s="482"/>
      <c r="DW32" s="482"/>
      <c r="DX32" s="482"/>
      <c r="DY32" s="482"/>
      <c r="DZ32" s="482"/>
      <c r="EA32" s="482"/>
      <c r="EB32" s="482"/>
      <c r="EC32" s="482"/>
      <c r="ED32" s="482"/>
      <c r="EE32" s="482"/>
      <c r="EF32" s="482"/>
      <c r="EG32" s="482"/>
      <c r="EH32" s="482"/>
      <c r="EI32" s="482"/>
      <c r="EJ32" s="482"/>
      <c r="EK32" s="482"/>
      <c r="EL32" s="482"/>
      <c r="EM32" s="482"/>
      <c r="EN32" s="482"/>
      <c r="EO32" s="482"/>
      <c r="EP32" s="482"/>
      <c r="EQ32" s="482"/>
      <c r="ER32" s="482"/>
      <c r="ES32" s="482"/>
      <c r="ET32" s="482"/>
      <c r="EU32" s="482"/>
      <c r="EV32" s="482"/>
      <c r="EW32" s="482"/>
      <c r="EX32" s="482"/>
      <c r="EY32" s="482"/>
      <c r="EZ32" s="482"/>
      <c r="FA32" s="482"/>
      <c r="FB32" s="482"/>
      <c r="FC32" s="482"/>
      <c r="FD32" s="482"/>
      <c r="FE32" s="482"/>
      <c r="FF32" s="482"/>
      <c r="FG32" s="482"/>
      <c r="FH32" s="482"/>
      <c r="FI32" s="482"/>
      <c r="FJ32" s="482"/>
      <c r="FK32" s="482"/>
      <c r="FL32" s="482"/>
      <c r="FM32" s="482"/>
      <c r="FN32" s="482"/>
      <c r="FO32" s="482"/>
      <c r="FP32" s="482"/>
      <c r="FQ32" s="482"/>
      <c r="FR32" s="482"/>
      <c r="FS32" s="482"/>
      <c r="FT32" s="482"/>
      <c r="FU32" s="482"/>
      <c r="FV32" s="482"/>
      <c r="FW32" s="482"/>
      <c r="FX32" s="482"/>
      <c r="FY32" s="482"/>
      <c r="FZ32" s="482"/>
      <c r="GA32" s="482"/>
      <c r="GB32" s="482"/>
      <c r="GC32" s="482"/>
      <c r="GD32" s="482"/>
      <c r="GE32" s="482"/>
      <c r="GF32" s="482"/>
      <c r="GG32" s="482"/>
      <c r="GH32" s="482"/>
      <c r="GI32" s="482"/>
      <c r="GJ32" s="482"/>
      <c r="GK32" s="482"/>
      <c r="GL32" s="482"/>
      <c r="GM32" s="482"/>
      <c r="GN32" s="482"/>
      <c r="GO32" s="482"/>
      <c r="GP32" s="482"/>
      <c r="GQ32" s="482"/>
      <c r="GR32" s="482"/>
      <c r="GS32" s="482"/>
      <c r="GT32" s="482"/>
      <c r="GU32" s="482"/>
      <c r="GV32" s="482"/>
      <c r="GW32" s="482"/>
      <c r="GX32" s="482"/>
      <c r="GY32" s="482"/>
      <c r="GZ32" s="482"/>
      <c r="HA32" s="482"/>
      <c r="HB32" s="482"/>
      <c r="HC32" s="482"/>
      <c r="HD32" s="482"/>
      <c r="HE32" s="482"/>
      <c r="HF32" s="482"/>
      <c r="HG32" s="482"/>
      <c r="HH32" s="482"/>
      <c r="HI32" s="482"/>
      <c r="HJ32" s="482"/>
      <c r="HK32" s="482"/>
      <c r="HL32" s="482"/>
      <c r="HM32" s="482"/>
      <c r="HN32" s="482"/>
      <c r="HO32" s="482"/>
      <c r="HP32" s="482"/>
      <c r="HQ32" s="482"/>
      <c r="HR32" s="482"/>
      <c r="HS32" s="482"/>
      <c r="HT32" s="482"/>
      <c r="HU32" s="482"/>
      <c r="HV32" s="482"/>
      <c r="HW32" s="482"/>
      <c r="HX32" s="482"/>
      <c r="HY32" s="482"/>
      <c r="HZ32" s="482"/>
      <c r="IA32" s="482"/>
      <c r="IB32" s="482"/>
      <c r="IC32" s="482"/>
      <c r="ID32" s="482"/>
      <c r="IE32" s="482"/>
      <c r="IF32" s="482"/>
      <c r="IG32" s="482"/>
      <c r="IH32" s="482"/>
      <c r="II32" s="482"/>
      <c r="IJ32" s="482"/>
      <c r="IK32" s="482"/>
      <c r="IL32" s="482"/>
      <c r="IM32" s="482"/>
      <c r="IN32" s="482"/>
      <c r="IO32" s="482"/>
      <c r="IP32" s="482"/>
      <c r="IQ32" s="482"/>
      <c r="IR32" s="482"/>
    </row>
    <row r="33" spans="1:252" ht="17.25" customHeight="1">
      <c r="A33" s="640"/>
      <c r="B33" s="645" t="s">
        <v>879</v>
      </c>
      <c r="C33" s="498">
        <v>589</v>
      </c>
      <c r="D33" s="489" t="s">
        <v>832</v>
      </c>
      <c r="E33" s="490">
        <v>56000</v>
      </c>
      <c r="F33" s="490">
        <f>C33*E33*4/12</f>
        <v>10994666.666666666</v>
      </c>
      <c r="G33" s="498">
        <v>0</v>
      </c>
      <c r="H33" s="489" t="s">
        <v>832</v>
      </c>
      <c r="I33" s="490">
        <v>70000</v>
      </c>
      <c r="J33" s="490">
        <f>G33*I33/12*4</f>
        <v>0</v>
      </c>
      <c r="K33" s="490">
        <v>0</v>
      </c>
      <c r="L33" s="490"/>
      <c r="M33" s="490"/>
      <c r="N33" s="490"/>
      <c r="O33" s="490">
        <v>23</v>
      </c>
      <c r="P33" s="646">
        <v>23</v>
      </c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482"/>
      <c r="BF33" s="482"/>
      <c r="BG33" s="482"/>
      <c r="BH33" s="482"/>
      <c r="BI33" s="482"/>
      <c r="BJ33" s="482"/>
      <c r="BK33" s="482"/>
      <c r="BL33" s="482"/>
      <c r="BM33" s="482"/>
      <c r="BN33" s="482"/>
      <c r="BO33" s="482"/>
      <c r="BP33" s="482"/>
      <c r="BQ33" s="482"/>
      <c r="BR33" s="482"/>
      <c r="BS33" s="482"/>
      <c r="BT33" s="482"/>
      <c r="BU33" s="482"/>
      <c r="BV33" s="482"/>
      <c r="BW33" s="482"/>
      <c r="BX33" s="482"/>
      <c r="BY33" s="482"/>
      <c r="BZ33" s="482"/>
      <c r="CA33" s="482"/>
      <c r="CB33" s="482"/>
      <c r="CC33" s="482"/>
      <c r="CD33" s="482"/>
      <c r="CE33" s="482"/>
      <c r="CF33" s="482"/>
      <c r="CG33" s="482"/>
      <c r="CH33" s="482"/>
      <c r="CI33" s="482"/>
      <c r="CJ33" s="482"/>
      <c r="CK33" s="482"/>
      <c r="CL33" s="482"/>
      <c r="CM33" s="482"/>
      <c r="CN33" s="482"/>
      <c r="CO33" s="482"/>
      <c r="CP33" s="482"/>
      <c r="CQ33" s="482"/>
      <c r="CR33" s="482"/>
      <c r="CS33" s="482"/>
      <c r="CT33" s="482"/>
      <c r="CU33" s="482"/>
      <c r="CV33" s="482"/>
      <c r="CW33" s="482"/>
      <c r="CX33" s="482"/>
      <c r="CY33" s="482"/>
      <c r="CZ33" s="482"/>
      <c r="DA33" s="482"/>
      <c r="DB33" s="482"/>
      <c r="DC33" s="482"/>
      <c r="DD33" s="482"/>
      <c r="DE33" s="482"/>
      <c r="DF33" s="482"/>
      <c r="DG33" s="482"/>
      <c r="DH33" s="482"/>
      <c r="DI33" s="482"/>
      <c r="DJ33" s="482"/>
      <c r="DK33" s="482"/>
      <c r="DL33" s="482"/>
      <c r="DM33" s="482"/>
      <c r="DN33" s="482"/>
      <c r="DO33" s="482"/>
      <c r="DP33" s="482"/>
      <c r="DQ33" s="482"/>
      <c r="DR33" s="482"/>
      <c r="DS33" s="482"/>
      <c r="DT33" s="482"/>
      <c r="DU33" s="482"/>
      <c r="DV33" s="482"/>
      <c r="DW33" s="482"/>
      <c r="DX33" s="482"/>
      <c r="DY33" s="482"/>
      <c r="DZ33" s="482"/>
      <c r="EA33" s="482"/>
      <c r="EB33" s="482"/>
      <c r="EC33" s="482"/>
      <c r="ED33" s="482"/>
      <c r="EE33" s="482"/>
      <c r="EF33" s="482"/>
      <c r="EG33" s="482"/>
      <c r="EH33" s="482"/>
      <c r="EI33" s="482"/>
      <c r="EJ33" s="482"/>
      <c r="EK33" s="482"/>
      <c r="EL33" s="482"/>
      <c r="EM33" s="482"/>
      <c r="EN33" s="482"/>
      <c r="EO33" s="482"/>
      <c r="EP33" s="482"/>
      <c r="EQ33" s="482"/>
      <c r="ER33" s="482"/>
      <c r="ES33" s="482"/>
      <c r="ET33" s="482"/>
      <c r="EU33" s="482"/>
      <c r="EV33" s="482"/>
      <c r="EW33" s="482"/>
      <c r="EX33" s="482"/>
      <c r="EY33" s="482"/>
      <c r="EZ33" s="482"/>
      <c r="FA33" s="482"/>
      <c r="FB33" s="482"/>
      <c r="FC33" s="482"/>
      <c r="FD33" s="482"/>
      <c r="FE33" s="482"/>
      <c r="FF33" s="482"/>
      <c r="FG33" s="482"/>
      <c r="FH33" s="482"/>
      <c r="FI33" s="482"/>
      <c r="FJ33" s="482"/>
      <c r="FK33" s="482"/>
      <c r="FL33" s="482"/>
      <c r="FM33" s="482"/>
      <c r="FN33" s="482"/>
      <c r="FO33" s="482"/>
      <c r="FP33" s="482"/>
      <c r="FQ33" s="482"/>
      <c r="FR33" s="482"/>
      <c r="FS33" s="482"/>
      <c r="FT33" s="482"/>
      <c r="FU33" s="482"/>
      <c r="FV33" s="482"/>
      <c r="FW33" s="482"/>
      <c r="FX33" s="482"/>
      <c r="FY33" s="482"/>
      <c r="FZ33" s="482"/>
      <c r="GA33" s="482"/>
      <c r="GB33" s="482"/>
      <c r="GC33" s="482"/>
      <c r="GD33" s="482"/>
      <c r="GE33" s="482"/>
      <c r="GF33" s="482"/>
      <c r="GG33" s="482"/>
      <c r="GH33" s="482"/>
      <c r="GI33" s="482"/>
      <c r="GJ33" s="482"/>
      <c r="GK33" s="482"/>
      <c r="GL33" s="482"/>
      <c r="GM33" s="482"/>
      <c r="GN33" s="482"/>
      <c r="GO33" s="482"/>
      <c r="GP33" s="482"/>
      <c r="GQ33" s="482"/>
      <c r="GR33" s="482"/>
      <c r="GS33" s="482"/>
      <c r="GT33" s="482"/>
      <c r="GU33" s="482"/>
      <c r="GV33" s="482"/>
      <c r="GW33" s="482"/>
      <c r="GX33" s="482"/>
      <c r="GY33" s="482"/>
      <c r="GZ33" s="482"/>
      <c r="HA33" s="482"/>
      <c r="HB33" s="482"/>
      <c r="HC33" s="482"/>
      <c r="HD33" s="482"/>
      <c r="HE33" s="482"/>
      <c r="HF33" s="482"/>
      <c r="HG33" s="482"/>
      <c r="HH33" s="482"/>
      <c r="HI33" s="482"/>
      <c r="HJ33" s="482"/>
      <c r="HK33" s="482"/>
      <c r="HL33" s="482"/>
      <c r="HM33" s="482"/>
      <c r="HN33" s="482"/>
      <c r="HO33" s="482"/>
      <c r="HP33" s="482"/>
      <c r="HQ33" s="482"/>
      <c r="HR33" s="482"/>
      <c r="HS33" s="482"/>
      <c r="HT33" s="482"/>
      <c r="HU33" s="482"/>
      <c r="HV33" s="482"/>
      <c r="HW33" s="482"/>
      <c r="HX33" s="482"/>
      <c r="HY33" s="482"/>
      <c r="HZ33" s="482"/>
      <c r="IA33" s="482"/>
      <c r="IB33" s="482"/>
      <c r="IC33" s="482"/>
      <c r="ID33" s="482"/>
      <c r="IE33" s="482"/>
      <c r="IF33" s="482"/>
      <c r="IG33" s="482"/>
      <c r="IH33" s="482"/>
      <c r="II33" s="482"/>
      <c r="IJ33" s="482"/>
      <c r="IK33" s="482"/>
      <c r="IL33" s="482"/>
      <c r="IM33" s="482"/>
      <c r="IN33" s="482"/>
      <c r="IO33" s="482"/>
      <c r="IP33" s="482"/>
      <c r="IQ33" s="482"/>
      <c r="IR33" s="482"/>
    </row>
    <row r="34" spans="1:252" ht="17.25" customHeight="1">
      <c r="A34" s="640"/>
      <c r="B34" s="645" t="s">
        <v>880</v>
      </c>
      <c r="C34" s="498"/>
      <c r="D34" s="489"/>
      <c r="E34" s="490"/>
      <c r="F34" s="490"/>
      <c r="G34" s="498">
        <v>568</v>
      </c>
      <c r="H34" s="489" t="s">
        <v>832</v>
      </c>
      <c r="I34" s="490">
        <v>70000</v>
      </c>
      <c r="J34" s="490">
        <f>G34*I34/12*4</f>
        <v>13253333.333333334</v>
      </c>
      <c r="K34" s="490">
        <v>13253</v>
      </c>
      <c r="L34" s="490">
        <v>13253</v>
      </c>
      <c r="M34" s="490">
        <v>13253</v>
      </c>
      <c r="N34" s="490">
        <v>13253</v>
      </c>
      <c r="O34" s="490">
        <v>12950</v>
      </c>
      <c r="P34" s="646">
        <v>12951</v>
      </c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  <c r="AO34" s="482"/>
      <c r="AP34" s="482"/>
      <c r="AQ34" s="482"/>
      <c r="AR34" s="482"/>
      <c r="AS34" s="482"/>
      <c r="AT34" s="482"/>
      <c r="AU34" s="482"/>
      <c r="AV34" s="482"/>
      <c r="AW34" s="482"/>
      <c r="AX34" s="482"/>
      <c r="AY34" s="482"/>
      <c r="AZ34" s="482"/>
      <c r="BA34" s="482"/>
      <c r="BB34" s="482"/>
      <c r="BC34" s="482"/>
      <c r="BD34" s="482"/>
      <c r="BE34" s="482"/>
      <c r="BF34" s="482"/>
      <c r="BG34" s="482"/>
      <c r="BH34" s="482"/>
      <c r="BI34" s="482"/>
      <c r="BJ34" s="482"/>
      <c r="BK34" s="482"/>
      <c r="BL34" s="482"/>
      <c r="BM34" s="482"/>
      <c r="BN34" s="482"/>
      <c r="BO34" s="482"/>
      <c r="BP34" s="482"/>
      <c r="BQ34" s="482"/>
      <c r="BR34" s="482"/>
      <c r="BS34" s="482"/>
      <c r="BT34" s="482"/>
      <c r="BU34" s="482"/>
      <c r="BV34" s="482"/>
      <c r="BW34" s="482"/>
      <c r="BX34" s="482"/>
      <c r="BY34" s="482"/>
      <c r="BZ34" s="482"/>
      <c r="CA34" s="482"/>
      <c r="CB34" s="482"/>
      <c r="CC34" s="482"/>
      <c r="CD34" s="482"/>
      <c r="CE34" s="482"/>
      <c r="CF34" s="482"/>
      <c r="CG34" s="482"/>
      <c r="CH34" s="482"/>
      <c r="CI34" s="482"/>
      <c r="CJ34" s="482"/>
      <c r="CK34" s="482"/>
      <c r="CL34" s="482"/>
      <c r="CM34" s="482"/>
      <c r="CN34" s="482"/>
      <c r="CO34" s="482"/>
      <c r="CP34" s="482"/>
      <c r="CQ34" s="482"/>
      <c r="CR34" s="482"/>
      <c r="CS34" s="482"/>
      <c r="CT34" s="482"/>
      <c r="CU34" s="482"/>
      <c r="CV34" s="482"/>
      <c r="CW34" s="482"/>
      <c r="CX34" s="482"/>
      <c r="CY34" s="482"/>
      <c r="CZ34" s="482"/>
      <c r="DA34" s="482"/>
      <c r="DB34" s="482"/>
      <c r="DC34" s="482"/>
      <c r="DD34" s="482"/>
      <c r="DE34" s="482"/>
      <c r="DF34" s="482"/>
      <c r="DG34" s="482"/>
      <c r="DH34" s="482"/>
      <c r="DI34" s="482"/>
      <c r="DJ34" s="482"/>
      <c r="DK34" s="482"/>
      <c r="DL34" s="482"/>
      <c r="DM34" s="482"/>
      <c r="DN34" s="482"/>
      <c r="DO34" s="482"/>
      <c r="DP34" s="482"/>
      <c r="DQ34" s="482"/>
      <c r="DR34" s="482"/>
      <c r="DS34" s="482"/>
      <c r="DT34" s="482"/>
      <c r="DU34" s="482"/>
      <c r="DV34" s="482"/>
      <c r="DW34" s="482"/>
      <c r="DX34" s="482"/>
      <c r="DY34" s="482"/>
      <c r="DZ34" s="482"/>
      <c r="EA34" s="482"/>
      <c r="EB34" s="482"/>
      <c r="EC34" s="482"/>
      <c r="ED34" s="482"/>
      <c r="EE34" s="482"/>
      <c r="EF34" s="482"/>
      <c r="EG34" s="482"/>
      <c r="EH34" s="482"/>
      <c r="EI34" s="482"/>
      <c r="EJ34" s="482"/>
      <c r="EK34" s="482"/>
      <c r="EL34" s="482"/>
      <c r="EM34" s="482"/>
      <c r="EN34" s="482"/>
      <c r="EO34" s="482"/>
      <c r="EP34" s="482"/>
      <c r="EQ34" s="482"/>
      <c r="ER34" s="482"/>
      <c r="ES34" s="482"/>
      <c r="ET34" s="482"/>
      <c r="EU34" s="482"/>
      <c r="EV34" s="482"/>
      <c r="EW34" s="482"/>
      <c r="EX34" s="482"/>
      <c r="EY34" s="482"/>
      <c r="EZ34" s="482"/>
      <c r="FA34" s="482"/>
      <c r="FB34" s="482"/>
      <c r="FC34" s="482"/>
      <c r="FD34" s="482"/>
      <c r="FE34" s="482"/>
      <c r="FF34" s="482"/>
      <c r="FG34" s="482"/>
      <c r="FH34" s="482"/>
      <c r="FI34" s="482"/>
      <c r="FJ34" s="482"/>
      <c r="FK34" s="482"/>
      <c r="FL34" s="482"/>
      <c r="FM34" s="482"/>
      <c r="FN34" s="482"/>
      <c r="FO34" s="482"/>
      <c r="FP34" s="482"/>
      <c r="FQ34" s="482"/>
      <c r="FR34" s="482"/>
      <c r="FS34" s="482"/>
      <c r="FT34" s="482"/>
      <c r="FU34" s="482"/>
      <c r="FV34" s="482"/>
      <c r="FW34" s="482"/>
      <c r="FX34" s="482"/>
      <c r="FY34" s="482"/>
      <c r="FZ34" s="482"/>
      <c r="GA34" s="482"/>
      <c r="GB34" s="482"/>
      <c r="GC34" s="482"/>
      <c r="GD34" s="482"/>
      <c r="GE34" s="482"/>
      <c r="GF34" s="482"/>
      <c r="GG34" s="482"/>
      <c r="GH34" s="482"/>
      <c r="GI34" s="482"/>
      <c r="GJ34" s="482"/>
      <c r="GK34" s="482"/>
      <c r="GL34" s="482"/>
      <c r="GM34" s="482"/>
      <c r="GN34" s="482"/>
      <c r="GO34" s="482"/>
      <c r="GP34" s="482"/>
      <c r="GQ34" s="482"/>
      <c r="GR34" s="482"/>
      <c r="GS34" s="482"/>
      <c r="GT34" s="482"/>
      <c r="GU34" s="482"/>
      <c r="GV34" s="482"/>
      <c r="GW34" s="482"/>
      <c r="GX34" s="482"/>
      <c r="GY34" s="482"/>
      <c r="GZ34" s="482"/>
      <c r="HA34" s="482"/>
      <c r="HB34" s="482"/>
      <c r="HC34" s="482"/>
      <c r="HD34" s="482"/>
      <c r="HE34" s="482"/>
      <c r="HF34" s="482"/>
      <c r="HG34" s="482"/>
      <c r="HH34" s="482"/>
      <c r="HI34" s="482"/>
      <c r="HJ34" s="482"/>
      <c r="HK34" s="482"/>
      <c r="HL34" s="482"/>
      <c r="HM34" s="482"/>
      <c r="HN34" s="482"/>
      <c r="HO34" s="482"/>
      <c r="HP34" s="482"/>
      <c r="HQ34" s="482"/>
      <c r="HR34" s="482"/>
      <c r="HS34" s="482"/>
      <c r="HT34" s="482"/>
      <c r="HU34" s="482"/>
      <c r="HV34" s="482"/>
      <c r="HW34" s="482"/>
      <c r="HX34" s="482"/>
      <c r="HY34" s="482"/>
      <c r="HZ34" s="482"/>
      <c r="IA34" s="482"/>
      <c r="IB34" s="482"/>
      <c r="IC34" s="482"/>
      <c r="ID34" s="482"/>
      <c r="IE34" s="482"/>
      <c r="IF34" s="482"/>
      <c r="IG34" s="482"/>
      <c r="IH34" s="482"/>
      <c r="II34" s="482"/>
      <c r="IJ34" s="482"/>
      <c r="IK34" s="482"/>
      <c r="IL34" s="482"/>
      <c r="IM34" s="482"/>
      <c r="IN34" s="482"/>
      <c r="IO34" s="482"/>
      <c r="IP34" s="482"/>
      <c r="IQ34" s="482"/>
      <c r="IR34" s="482"/>
    </row>
    <row r="35" spans="1:252" ht="15.75">
      <c r="A35" s="652" t="s">
        <v>875</v>
      </c>
      <c r="B35" s="658" t="s">
        <v>881</v>
      </c>
      <c r="C35" s="498"/>
      <c r="D35" s="489"/>
      <c r="E35" s="490"/>
      <c r="F35" s="654">
        <f>SUM(F31:F33)</f>
        <v>33096000</v>
      </c>
      <c r="G35" s="498"/>
      <c r="H35" s="489"/>
      <c r="I35" s="490"/>
      <c r="J35" s="654">
        <f aca="true" t="shared" si="2" ref="J35:P35">SUM(J31:J34)</f>
        <v>40273333.333333336</v>
      </c>
      <c r="K35" s="654">
        <f t="shared" si="2"/>
        <v>40273</v>
      </c>
      <c r="L35" s="654">
        <f t="shared" si="2"/>
        <v>40273</v>
      </c>
      <c r="M35" s="654">
        <f t="shared" si="2"/>
        <v>40366</v>
      </c>
      <c r="N35" s="654">
        <f t="shared" si="2"/>
        <v>40366</v>
      </c>
      <c r="O35" s="654">
        <f t="shared" si="2"/>
        <v>40086</v>
      </c>
      <c r="P35" s="655">
        <f t="shared" si="2"/>
        <v>40087</v>
      </c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482"/>
      <c r="BF35" s="482"/>
      <c r="BG35" s="482"/>
      <c r="BH35" s="482"/>
      <c r="BI35" s="482"/>
      <c r="BJ35" s="482"/>
      <c r="BK35" s="482"/>
      <c r="BL35" s="482"/>
      <c r="BM35" s="482"/>
      <c r="BN35" s="482"/>
      <c r="BO35" s="482"/>
      <c r="BP35" s="482"/>
      <c r="BQ35" s="482"/>
      <c r="BR35" s="482"/>
      <c r="BS35" s="482"/>
      <c r="BT35" s="482"/>
      <c r="BU35" s="482"/>
      <c r="BV35" s="482"/>
      <c r="BW35" s="482"/>
      <c r="BX35" s="482"/>
      <c r="BY35" s="482"/>
      <c r="BZ35" s="482"/>
      <c r="CA35" s="482"/>
      <c r="CB35" s="482"/>
      <c r="CC35" s="482"/>
      <c r="CD35" s="482"/>
      <c r="CE35" s="482"/>
      <c r="CF35" s="482"/>
      <c r="CG35" s="482"/>
      <c r="CH35" s="482"/>
      <c r="CI35" s="482"/>
      <c r="CJ35" s="482"/>
      <c r="CK35" s="482"/>
      <c r="CL35" s="482"/>
      <c r="CM35" s="482"/>
      <c r="CN35" s="482"/>
      <c r="CO35" s="482"/>
      <c r="CP35" s="482"/>
      <c r="CQ35" s="482"/>
      <c r="CR35" s="482"/>
      <c r="CS35" s="482"/>
      <c r="CT35" s="482"/>
      <c r="CU35" s="482"/>
      <c r="CV35" s="482"/>
      <c r="CW35" s="482"/>
      <c r="CX35" s="482"/>
      <c r="CY35" s="482"/>
      <c r="CZ35" s="482"/>
      <c r="DA35" s="482"/>
      <c r="DB35" s="482"/>
      <c r="DC35" s="482"/>
      <c r="DD35" s="482"/>
      <c r="DE35" s="482"/>
      <c r="DF35" s="482"/>
      <c r="DG35" s="482"/>
      <c r="DH35" s="482"/>
      <c r="DI35" s="482"/>
      <c r="DJ35" s="482"/>
      <c r="DK35" s="482"/>
      <c r="DL35" s="482"/>
      <c r="DM35" s="482"/>
      <c r="DN35" s="482"/>
      <c r="DO35" s="482"/>
      <c r="DP35" s="482"/>
      <c r="DQ35" s="482"/>
      <c r="DR35" s="482"/>
      <c r="DS35" s="482"/>
      <c r="DT35" s="482"/>
      <c r="DU35" s="482"/>
      <c r="DV35" s="482"/>
      <c r="DW35" s="482"/>
      <c r="DX35" s="482"/>
      <c r="DY35" s="482"/>
      <c r="DZ35" s="482"/>
      <c r="EA35" s="482"/>
      <c r="EB35" s="482"/>
      <c r="EC35" s="482"/>
      <c r="ED35" s="482"/>
      <c r="EE35" s="482"/>
      <c r="EF35" s="482"/>
      <c r="EG35" s="482"/>
      <c r="EH35" s="482"/>
      <c r="EI35" s="482"/>
      <c r="EJ35" s="482"/>
      <c r="EK35" s="482"/>
      <c r="EL35" s="482"/>
      <c r="EM35" s="482"/>
      <c r="EN35" s="482"/>
      <c r="EO35" s="482"/>
      <c r="EP35" s="482"/>
      <c r="EQ35" s="482"/>
      <c r="ER35" s="482"/>
      <c r="ES35" s="482"/>
      <c r="ET35" s="482"/>
      <c r="EU35" s="482"/>
      <c r="EV35" s="482"/>
      <c r="EW35" s="482"/>
      <c r="EX35" s="482"/>
      <c r="EY35" s="482"/>
      <c r="EZ35" s="482"/>
      <c r="FA35" s="482"/>
      <c r="FB35" s="482"/>
      <c r="FC35" s="482"/>
      <c r="FD35" s="482"/>
      <c r="FE35" s="482"/>
      <c r="FF35" s="482"/>
      <c r="FG35" s="482"/>
      <c r="FH35" s="482"/>
      <c r="FI35" s="482"/>
      <c r="FJ35" s="482"/>
      <c r="FK35" s="482"/>
      <c r="FL35" s="482"/>
      <c r="FM35" s="482"/>
      <c r="FN35" s="482"/>
      <c r="FO35" s="482"/>
      <c r="FP35" s="482"/>
      <c r="FQ35" s="482"/>
      <c r="FR35" s="482"/>
      <c r="FS35" s="482"/>
      <c r="FT35" s="482"/>
      <c r="FU35" s="482"/>
      <c r="FV35" s="482"/>
      <c r="FW35" s="482"/>
      <c r="FX35" s="482"/>
      <c r="FY35" s="482"/>
      <c r="FZ35" s="482"/>
      <c r="GA35" s="482"/>
      <c r="GB35" s="482"/>
      <c r="GC35" s="482"/>
      <c r="GD35" s="482"/>
      <c r="GE35" s="482"/>
      <c r="GF35" s="482"/>
      <c r="GG35" s="482"/>
      <c r="GH35" s="482"/>
      <c r="GI35" s="482"/>
      <c r="GJ35" s="482"/>
      <c r="GK35" s="482"/>
      <c r="GL35" s="482"/>
      <c r="GM35" s="482"/>
      <c r="GN35" s="482"/>
      <c r="GO35" s="482"/>
      <c r="GP35" s="482"/>
      <c r="GQ35" s="482"/>
      <c r="GR35" s="482"/>
      <c r="GS35" s="482"/>
      <c r="GT35" s="482"/>
      <c r="GU35" s="482"/>
      <c r="GV35" s="482"/>
      <c r="GW35" s="482"/>
      <c r="GX35" s="482"/>
      <c r="GY35" s="482"/>
      <c r="GZ35" s="482"/>
      <c r="HA35" s="482"/>
      <c r="HB35" s="482"/>
      <c r="HC35" s="482"/>
      <c r="HD35" s="482"/>
      <c r="HE35" s="482"/>
      <c r="HF35" s="482"/>
      <c r="HG35" s="482"/>
      <c r="HH35" s="482"/>
      <c r="HI35" s="482"/>
      <c r="HJ35" s="482"/>
      <c r="HK35" s="482"/>
      <c r="HL35" s="482"/>
      <c r="HM35" s="482"/>
      <c r="HN35" s="482"/>
      <c r="HO35" s="482"/>
      <c r="HP35" s="482"/>
      <c r="HQ35" s="482"/>
      <c r="HR35" s="482"/>
      <c r="HS35" s="482"/>
      <c r="HT35" s="482"/>
      <c r="HU35" s="482"/>
      <c r="HV35" s="482"/>
      <c r="HW35" s="482"/>
      <c r="HX35" s="482"/>
      <c r="HY35" s="482"/>
      <c r="HZ35" s="482"/>
      <c r="IA35" s="482"/>
      <c r="IB35" s="482"/>
      <c r="IC35" s="482"/>
      <c r="ID35" s="482"/>
      <c r="IE35" s="482"/>
      <c r="IF35" s="482"/>
      <c r="IG35" s="482"/>
      <c r="IH35" s="482"/>
      <c r="II35" s="482"/>
      <c r="IJ35" s="482"/>
      <c r="IK35" s="482"/>
      <c r="IL35" s="482"/>
      <c r="IM35" s="482"/>
      <c r="IN35" s="482"/>
      <c r="IO35" s="482"/>
      <c r="IP35" s="482"/>
      <c r="IQ35" s="482"/>
      <c r="IR35" s="482"/>
    </row>
    <row r="36" spans="1:252" ht="15.75">
      <c r="A36" s="652" t="s">
        <v>882</v>
      </c>
      <c r="B36" s="658" t="s">
        <v>883</v>
      </c>
      <c r="C36" s="498"/>
      <c r="D36" s="489"/>
      <c r="E36" s="490"/>
      <c r="F36" s="654"/>
      <c r="G36" s="498"/>
      <c r="H36" s="489"/>
      <c r="I36" s="490"/>
      <c r="J36" s="654"/>
      <c r="K36" s="654"/>
      <c r="L36" s="654"/>
      <c r="M36" s="654"/>
      <c r="N36" s="654">
        <v>2504</v>
      </c>
      <c r="O36" s="654">
        <v>2504</v>
      </c>
      <c r="P36" s="655">
        <v>2504</v>
      </c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  <c r="AP36" s="482"/>
      <c r="AQ36" s="482"/>
      <c r="AR36" s="482"/>
      <c r="AS36" s="482"/>
      <c r="AT36" s="482"/>
      <c r="AU36" s="482"/>
      <c r="AV36" s="482"/>
      <c r="AW36" s="482"/>
      <c r="AX36" s="482"/>
      <c r="AY36" s="482"/>
      <c r="AZ36" s="482"/>
      <c r="BA36" s="482"/>
      <c r="BB36" s="482"/>
      <c r="BC36" s="482"/>
      <c r="BD36" s="482"/>
      <c r="BE36" s="482"/>
      <c r="BF36" s="482"/>
      <c r="BG36" s="482"/>
      <c r="BH36" s="482"/>
      <c r="BI36" s="482"/>
      <c r="BJ36" s="482"/>
      <c r="BK36" s="482"/>
      <c r="BL36" s="482"/>
      <c r="BM36" s="482"/>
      <c r="BN36" s="482"/>
      <c r="BO36" s="482"/>
      <c r="BP36" s="482"/>
      <c r="BQ36" s="482"/>
      <c r="BR36" s="482"/>
      <c r="BS36" s="482"/>
      <c r="BT36" s="482"/>
      <c r="BU36" s="482"/>
      <c r="BV36" s="482"/>
      <c r="BW36" s="482"/>
      <c r="BX36" s="482"/>
      <c r="BY36" s="482"/>
      <c r="BZ36" s="482"/>
      <c r="CA36" s="482"/>
      <c r="CB36" s="482"/>
      <c r="CC36" s="482"/>
      <c r="CD36" s="482"/>
      <c r="CE36" s="482"/>
      <c r="CF36" s="482"/>
      <c r="CG36" s="482"/>
      <c r="CH36" s="482"/>
      <c r="CI36" s="482"/>
      <c r="CJ36" s="482"/>
      <c r="CK36" s="482"/>
      <c r="CL36" s="482"/>
      <c r="CM36" s="482"/>
      <c r="CN36" s="482"/>
      <c r="CO36" s="482"/>
      <c r="CP36" s="482"/>
      <c r="CQ36" s="482"/>
      <c r="CR36" s="482"/>
      <c r="CS36" s="482"/>
      <c r="CT36" s="482"/>
      <c r="CU36" s="482"/>
      <c r="CV36" s="482"/>
      <c r="CW36" s="482"/>
      <c r="CX36" s="482"/>
      <c r="CY36" s="482"/>
      <c r="CZ36" s="482"/>
      <c r="DA36" s="482"/>
      <c r="DB36" s="482"/>
      <c r="DC36" s="482"/>
      <c r="DD36" s="482"/>
      <c r="DE36" s="482"/>
      <c r="DF36" s="482"/>
      <c r="DG36" s="482"/>
      <c r="DH36" s="482"/>
      <c r="DI36" s="482"/>
      <c r="DJ36" s="482"/>
      <c r="DK36" s="482"/>
      <c r="DL36" s="482"/>
      <c r="DM36" s="482"/>
      <c r="DN36" s="482"/>
      <c r="DO36" s="482"/>
      <c r="DP36" s="482"/>
      <c r="DQ36" s="482"/>
      <c r="DR36" s="482"/>
      <c r="DS36" s="482"/>
      <c r="DT36" s="482"/>
      <c r="DU36" s="482"/>
      <c r="DV36" s="482"/>
      <c r="DW36" s="482"/>
      <c r="DX36" s="482"/>
      <c r="DY36" s="482"/>
      <c r="DZ36" s="482"/>
      <c r="EA36" s="482"/>
      <c r="EB36" s="482"/>
      <c r="EC36" s="482"/>
      <c r="ED36" s="482"/>
      <c r="EE36" s="482"/>
      <c r="EF36" s="482"/>
      <c r="EG36" s="482"/>
      <c r="EH36" s="482"/>
      <c r="EI36" s="482"/>
      <c r="EJ36" s="482"/>
      <c r="EK36" s="482"/>
      <c r="EL36" s="482"/>
      <c r="EM36" s="482"/>
      <c r="EN36" s="482"/>
      <c r="EO36" s="482"/>
      <c r="EP36" s="482"/>
      <c r="EQ36" s="482"/>
      <c r="ER36" s="482"/>
      <c r="ES36" s="482"/>
      <c r="ET36" s="482"/>
      <c r="EU36" s="482"/>
      <c r="EV36" s="482"/>
      <c r="EW36" s="482"/>
      <c r="EX36" s="482"/>
      <c r="EY36" s="482"/>
      <c r="EZ36" s="482"/>
      <c r="FA36" s="482"/>
      <c r="FB36" s="482"/>
      <c r="FC36" s="482"/>
      <c r="FD36" s="482"/>
      <c r="FE36" s="482"/>
      <c r="FF36" s="482"/>
      <c r="FG36" s="482"/>
      <c r="FH36" s="482"/>
      <c r="FI36" s="482"/>
      <c r="FJ36" s="482"/>
      <c r="FK36" s="482"/>
      <c r="FL36" s="482"/>
      <c r="FM36" s="482"/>
      <c r="FN36" s="482"/>
      <c r="FO36" s="482"/>
      <c r="FP36" s="482"/>
      <c r="FQ36" s="482"/>
      <c r="FR36" s="482"/>
      <c r="FS36" s="482"/>
      <c r="FT36" s="482"/>
      <c r="FU36" s="482"/>
      <c r="FV36" s="482"/>
      <c r="FW36" s="482"/>
      <c r="FX36" s="482"/>
      <c r="FY36" s="482"/>
      <c r="FZ36" s="482"/>
      <c r="GA36" s="482"/>
      <c r="GB36" s="482"/>
      <c r="GC36" s="482"/>
      <c r="GD36" s="482"/>
      <c r="GE36" s="482"/>
      <c r="GF36" s="482"/>
      <c r="GG36" s="482"/>
      <c r="GH36" s="482"/>
      <c r="GI36" s="482"/>
      <c r="GJ36" s="482"/>
      <c r="GK36" s="482"/>
      <c r="GL36" s="482"/>
      <c r="GM36" s="482"/>
      <c r="GN36" s="482"/>
      <c r="GO36" s="482"/>
      <c r="GP36" s="482"/>
      <c r="GQ36" s="482"/>
      <c r="GR36" s="482"/>
      <c r="GS36" s="482"/>
      <c r="GT36" s="482"/>
      <c r="GU36" s="482"/>
      <c r="GV36" s="482"/>
      <c r="GW36" s="482"/>
      <c r="GX36" s="482"/>
      <c r="GY36" s="482"/>
      <c r="GZ36" s="482"/>
      <c r="HA36" s="482"/>
      <c r="HB36" s="482"/>
      <c r="HC36" s="482"/>
      <c r="HD36" s="482"/>
      <c r="HE36" s="482"/>
      <c r="HF36" s="482"/>
      <c r="HG36" s="482"/>
      <c r="HH36" s="482"/>
      <c r="HI36" s="482"/>
      <c r="HJ36" s="482"/>
      <c r="HK36" s="482"/>
      <c r="HL36" s="482"/>
      <c r="HM36" s="482"/>
      <c r="HN36" s="482"/>
      <c r="HO36" s="482"/>
      <c r="HP36" s="482"/>
      <c r="HQ36" s="482"/>
      <c r="HR36" s="482"/>
      <c r="HS36" s="482"/>
      <c r="HT36" s="482"/>
      <c r="HU36" s="482"/>
      <c r="HV36" s="482"/>
      <c r="HW36" s="482"/>
      <c r="HX36" s="482"/>
      <c r="HY36" s="482"/>
      <c r="HZ36" s="482"/>
      <c r="IA36" s="482"/>
      <c r="IB36" s="482"/>
      <c r="IC36" s="482"/>
      <c r="ID36" s="482"/>
      <c r="IE36" s="482"/>
      <c r="IF36" s="482"/>
      <c r="IG36" s="482"/>
      <c r="IH36" s="482"/>
      <c r="II36" s="482"/>
      <c r="IJ36" s="482"/>
      <c r="IK36" s="482"/>
      <c r="IL36" s="482"/>
      <c r="IM36" s="482"/>
      <c r="IN36" s="482"/>
      <c r="IO36" s="482"/>
      <c r="IP36" s="482"/>
      <c r="IQ36" s="482"/>
      <c r="IR36" s="482"/>
    </row>
    <row r="37" spans="1:252" ht="15" customHeight="1">
      <c r="A37" s="640" t="s">
        <v>884</v>
      </c>
      <c r="B37" s="656" t="s">
        <v>885</v>
      </c>
      <c r="C37" s="498"/>
      <c r="D37" s="489"/>
      <c r="E37" s="490"/>
      <c r="F37" s="654"/>
      <c r="G37" s="498"/>
      <c r="H37" s="489"/>
      <c r="I37" s="490"/>
      <c r="J37" s="654"/>
      <c r="K37" s="654"/>
      <c r="L37" s="654"/>
      <c r="M37" s="654"/>
      <c r="N37" s="654"/>
      <c r="O37" s="654"/>
      <c r="P37" s="655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2"/>
      <c r="BA37" s="482"/>
      <c r="BB37" s="482"/>
      <c r="BC37" s="482"/>
      <c r="BD37" s="482"/>
      <c r="BE37" s="482"/>
      <c r="BF37" s="482"/>
      <c r="BG37" s="482"/>
      <c r="BH37" s="482"/>
      <c r="BI37" s="482"/>
      <c r="BJ37" s="482"/>
      <c r="BK37" s="482"/>
      <c r="BL37" s="482"/>
      <c r="BM37" s="482"/>
      <c r="BN37" s="482"/>
      <c r="BO37" s="482"/>
      <c r="BP37" s="482"/>
      <c r="BQ37" s="482"/>
      <c r="BR37" s="482"/>
      <c r="BS37" s="482"/>
      <c r="BT37" s="482"/>
      <c r="BU37" s="482"/>
      <c r="BV37" s="482"/>
      <c r="BW37" s="482"/>
      <c r="BX37" s="482"/>
      <c r="BY37" s="482"/>
      <c r="BZ37" s="482"/>
      <c r="CA37" s="482"/>
      <c r="CB37" s="482"/>
      <c r="CC37" s="482"/>
      <c r="CD37" s="482"/>
      <c r="CE37" s="482"/>
      <c r="CF37" s="482"/>
      <c r="CG37" s="482"/>
      <c r="CH37" s="482"/>
      <c r="CI37" s="482"/>
      <c r="CJ37" s="482"/>
      <c r="CK37" s="482"/>
      <c r="CL37" s="482"/>
      <c r="CM37" s="482"/>
      <c r="CN37" s="482"/>
      <c r="CO37" s="482"/>
      <c r="CP37" s="482"/>
      <c r="CQ37" s="482"/>
      <c r="CR37" s="482"/>
      <c r="CS37" s="482"/>
      <c r="CT37" s="482"/>
      <c r="CU37" s="482"/>
      <c r="CV37" s="482"/>
      <c r="CW37" s="482"/>
      <c r="CX37" s="482"/>
      <c r="CY37" s="482"/>
      <c r="CZ37" s="482"/>
      <c r="DA37" s="482"/>
      <c r="DB37" s="482"/>
      <c r="DC37" s="482"/>
      <c r="DD37" s="482"/>
      <c r="DE37" s="482"/>
      <c r="DF37" s="482"/>
      <c r="DG37" s="482"/>
      <c r="DH37" s="482"/>
      <c r="DI37" s="482"/>
      <c r="DJ37" s="482"/>
      <c r="DK37" s="482"/>
      <c r="DL37" s="482"/>
      <c r="DM37" s="482"/>
      <c r="DN37" s="482"/>
      <c r="DO37" s="482"/>
      <c r="DP37" s="482"/>
      <c r="DQ37" s="482"/>
      <c r="DR37" s="482"/>
      <c r="DS37" s="482"/>
      <c r="DT37" s="482"/>
      <c r="DU37" s="482"/>
      <c r="DV37" s="482"/>
      <c r="DW37" s="482"/>
      <c r="DX37" s="482"/>
      <c r="DY37" s="482"/>
      <c r="DZ37" s="482"/>
      <c r="EA37" s="482"/>
      <c r="EB37" s="482"/>
      <c r="EC37" s="482"/>
      <c r="ED37" s="482"/>
      <c r="EE37" s="482"/>
      <c r="EF37" s="482"/>
      <c r="EG37" s="482"/>
      <c r="EH37" s="482"/>
      <c r="EI37" s="482"/>
      <c r="EJ37" s="482"/>
      <c r="EK37" s="482"/>
      <c r="EL37" s="482"/>
      <c r="EM37" s="482"/>
      <c r="EN37" s="482"/>
      <c r="EO37" s="482"/>
      <c r="EP37" s="482"/>
      <c r="EQ37" s="482"/>
      <c r="ER37" s="482"/>
      <c r="ES37" s="482"/>
      <c r="ET37" s="482"/>
      <c r="EU37" s="482"/>
      <c r="EV37" s="482"/>
      <c r="EW37" s="482"/>
      <c r="EX37" s="482"/>
      <c r="EY37" s="482"/>
      <c r="EZ37" s="482"/>
      <c r="FA37" s="482"/>
      <c r="FB37" s="482"/>
      <c r="FC37" s="482"/>
      <c r="FD37" s="482"/>
      <c r="FE37" s="482"/>
      <c r="FF37" s="482"/>
      <c r="FG37" s="482"/>
      <c r="FH37" s="482"/>
      <c r="FI37" s="482"/>
      <c r="FJ37" s="482"/>
      <c r="FK37" s="482"/>
      <c r="FL37" s="482"/>
      <c r="FM37" s="482"/>
      <c r="FN37" s="482"/>
      <c r="FO37" s="482"/>
      <c r="FP37" s="482"/>
      <c r="FQ37" s="482"/>
      <c r="FR37" s="482"/>
      <c r="FS37" s="482"/>
      <c r="FT37" s="482"/>
      <c r="FU37" s="482"/>
      <c r="FV37" s="482"/>
      <c r="FW37" s="482"/>
      <c r="FX37" s="482"/>
      <c r="FY37" s="482"/>
      <c r="FZ37" s="482"/>
      <c r="GA37" s="482"/>
      <c r="GB37" s="482"/>
      <c r="GC37" s="482"/>
      <c r="GD37" s="482"/>
      <c r="GE37" s="482"/>
      <c r="GF37" s="482"/>
      <c r="GG37" s="482"/>
      <c r="GH37" s="482"/>
      <c r="GI37" s="482"/>
      <c r="GJ37" s="482"/>
      <c r="GK37" s="482"/>
      <c r="GL37" s="482"/>
      <c r="GM37" s="482"/>
      <c r="GN37" s="482"/>
      <c r="GO37" s="482"/>
      <c r="GP37" s="482"/>
      <c r="GQ37" s="482"/>
      <c r="GR37" s="482"/>
      <c r="GS37" s="482"/>
      <c r="GT37" s="482"/>
      <c r="GU37" s="482"/>
      <c r="GV37" s="482"/>
      <c r="GW37" s="482"/>
      <c r="GX37" s="482"/>
      <c r="GY37" s="482"/>
      <c r="GZ37" s="482"/>
      <c r="HA37" s="482"/>
      <c r="HB37" s="482"/>
      <c r="HC37" s="482"/>
      <c r="HD37" s="482"/>
      <c r="HE37" s="482"/>
      <c r="HF37" s="482"/>
      <c r="HG37" s="482"/>
      <c r="HH37" s="482"/>
      <c r="HI37" s="482"/>
      <c r="HJ37" s="482"/>
      <c r="HK37" s="482"/>
      <c r="HL37" s="482"/>
      <c r="HM37" s="482"/>
      <c r="HN37" s="482"/>
      <c r="HO37" s="482"/>
      <c r="HP37" s="482"/>
      <c r="HQ37" s="482"/>
      <c r="HR37" s="482"/>
      <c r="HS37" s="482"/>
      <c r="HT37" s="482"/>
      <c r="HU37" s="482"/>
      <c r="HV37" s="482"/>
      <c r="HW37" s="482"/>
      <c r="HX37" s="482"/>
      <c r="HY37" s="482"/>
      <c r="HZ37" s="482"/>
      <c r="IA37" s="482"/>
      <c r="IB37" s="482"/>
      <c r="IC37" s="482"/>
      <c r="ID37" s="482"/>
      <c r="IE37" s="482"/>
      <c r="IF37" s="482"/>
      <c r="IG37" s="482"/>
      <c r="IH37" s="482"/>
      <c r="II37" s="482"/>
      <c r="IJ37" s="482"/>
      <c r="IK37" s="482"/>
      <c r="IL37" s="482"/>
      <c r="IM37" s="482"/>
      <c r="IN37" s="482"/>
      <c r="IO37" s="482"/>
      <c r="IP37" s="482"/>
      <c r="IQ37" s="482"/>
      <c r="IR37" s="482"/>
    </row>
    <row r="38" spans="1:252" ht="18" customHeight="1">
      <c r="A38" s="640"/>
      <c r="B38" s="656" t="s">
        <v>886</v>
      </c>
      <c r="C38" s="498"/>
      <c r="D38" s="489"/>
      <c r="E38" s="490"/>
      <c r="F38" s="654"/>
      <c r="G38" s="498">
        <v>11</v>
      </c>
      <c r="H38" s="489" t="s">
        <v>832</v>
      </c>
      <c r="I38" s="659" t="s">
        <v>887</v>
      </c>
      <c r="J38" s="654">
        <f>G38*352000</f>
        <v>3872000</v>
      </c>
      <c r="K38" s="654">
        <v>3872</v>
      </c>
      <c r="L38" s="654">
        <v>3872</v>
      </c>
      <c r="M38" s="654">
        <v>3872</v>
      </c>
      <c r="N38" s="654">
        <v>3872</v>
      </c>
      <c r="O38" s="654">
        <v>3872</v>
      </c>
      <c r="P38" s="655">
        <v>3872</v>
      </c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2"/>
      <c r="AS38" s="482"/>
      <c r="AT38" s="482"/>
      <c r="AU38" s="482"/>
      <c r="AV38" s="482"/>
      <c r="AW38" s="482"/>
      <c r="AX38" s="482"/>
      <c r="AY38" s="482"/>
      <c r="AZ38" s="482"/>
      <c r="BA38" s="482"/>
      <c r="BB38" s="482"/>
      <c r="BC38" s="482"/>
      <c r="BD38" s="482"/>
      <c r="BE38" s="482"/>
      <c r="BF38" s="482"/>
      <c r="BG38" s="482"/>
      <c r="BH38" s="482"/>
      <c r="BI38" s="482"/>
      <c r="BJ38" s="482"/>
      <c r="BK38" s="482"/>
      <c r="BL38" s="482"/>
      <c r="BM38" s="482"/>
      <c r="BN38" s="482"/>
      <c r="BO38" s="482"/>
      <c r="BP38" s="482"/>
      <c r="BQ38" s="482"/>
      <c r="BR38" s="482"/>
      <c r="BS38" s="482"/>
      <c r="BT38" s="482"/>
      <c r="BU38" s="482"/>
      <c r="BV38" s="482"/>
      <c r="BW38" s="482"/>
      <c r="BX38" s="482"/>
      <c r="BY38" s="482"/>
      <c r="BZ38" s="482"/>
      <c r="CA38" s="482"/>
      <c r="CB38" s="482"/>
      <c r="CC38" s="482"/>
      <c r="CD38" s="482"/>
      <c r="CE38" s="482"/>
      <c r="CF38" s="482"/>
      <c r="CG38" s="482"/>
      <c r="CH38" s="482"/>
      <c r="CI38" s="482"/>
      <c r="CJ38" s="482"/>
      <c r="CK38" s="482"/>
      <c r="CL38" s="482"/>
      <c r="CM38" s="482"/>
      <c r="CN38" s="482"/>
      <c r="CO38" s="482"/>
      <c r="CP38" s="482"/>
      <c r="CQ38" s="482"/>
      <c r="CR38" s="482"/>
      <c r="CS38" s="482"/>
      <c r="CT38" s="482"/>
      <c r="CU38" s="482"/>
      <c r="CV38" s="482"/>
      <c r="CW38" s="482"/>
      <c r="CX38" s="482"/>
      <c r="CY38" s="482"/>
      <c r="CZ38" s="482"/>
      <c r="DA38" s="482"/>
      <c r="DB38" s="482"/>
      <c r="DC38" s="482"/>
      <c r="DD38" s="482"/>
      <c r="DE38" s="482"/>
      <c r="DF38" s="482"/>
      <c r="DG38" s="482"/>
      <c r="DH38" s="482"/>
      <c r="DI38" s="482"/>
      <c r="DJ38" s="482"/>
      <c r="DK38" s="482"/>
      <c r="DL38" s="482"/>
      <c r="DM38" s="482"/>
      <c r="DN38" s="482"/>
      <c r="DO38" s="482"/>
      <c r="DP38" s="482"/>
      <c r="DQ38" s="482"/>
      <c r="DR38" s="482"/>
      <c r="DS38" s="482"/>
      <c r="DT38" s="482"/>
      <c r="DU38" s="482"/>
      <c r="DV38" s="482"/>
      <c r="DW38" s="482"/>
      <c r="DX38" s="482"/>
      <c r="DY38" s="482"/>
      <c r="DZ38" s="482"/>
      <c r="EA38" s="482"/>
      <c r="EB38" s="482"/>
      <c r="EC38" s="482"/>
      <c r="ED38" s="482"/>
      <c r="EE38" s="482"/>
      <c r="EF38" s="482"/>
      <c r="EG38" s="482"/>
      <c r="EH38" s="482"/>
      <c r="EI38" s="482"/>
      <c r="EJ38" s="482"/>
      <c r="EK38" s="482"/>
      <c r="EL38" s="482"/>
      <c r="EM38" s="482"/>
      <c r="EN38" s="482"/>
      <c r="EO38" s="482"/>
      <c r="EP38" s="482"/>
      <c r="EQ38" s="482"/>
      <c r="ER38" s="482"/>
      <c r="ES38" s="482"/>
      <c r="ET38" s="482"/>
      <c r="EU38" s="482"/>
      <c r="EV38" s="482"/>
      <c r="EW38" s="482"/>
      <c r="EX38" s="482"/>
      <c r="EY38" s="482"/>
      <c r="EZ38" s="482"/>
      <c r="FA38" s="482"/>
      <c r="FB38" s="482"/>
      <c r="FC38" s="482"/>
      <c r="FD38" s="482"/>
      <c r="FE38" s="482"/>
      <c r="FF38" s="482"/>
      <c r="FG38" s="482"/>
      <c r="FH38" s="482"/>
      <c r="FI38" s="482"/>
      <c r="FJ38" s="482"/>
      <c r="FK38" s="482"/>
      <c r="FL38" s="482"/>
      <c r="FM38" s="482"/>
      <c r="FN38" s="482"/>
      <c r="FO38" s="482"/>
      <c r="FP38" s="482"/>
      <c r="FQ38" s="482"/>
      <c r="FR38" s="482"/>
      <c r="FS38" s="482"/>
      <c r="FT38" s="482"/>
      <c r="FU38" s="482"/>
      <c r="FV38" s="482"/>
      <c r="FW38" s="482"/>
      <c r="FX38" s="482"/>
      <c r="FY38" s="482"/>
      <c r="FZ38" s="482"/>
      <c r="GA38" s="482"/>
      <c r="GB38" s="482"/>
      <c r="GC38" s="482"/>
      <c r="GD38" s="482"/>
      <c r="GE38" s="482"/>
      <c r="GF38" s="482"/>
      <c r="GG38" s="482"/>
      <c r="GH38" s="482"/>
      <c r="GI38" s="482"/>
      <c r="GJ38" s="482"/>
      <c r="GK38" s="482"/>
      <c r="GL38" s="482"/>
      <c r="GM38" s="482"/>
      <c r="GN38" s="482"/>
      <c r="GO38" s="482"/>
      <c r="GP38" s="482"/>
      <c r="GQ38" s="482"/>
      <c r="GR38" s="482"/>
      <c r="GS38" s="482"/>
      <c r="GT38" s="482"/>
      <c r="GU38" s="482"/>
      <c r="GV38" s="482"/>
      <c r="GW38" s="482"/>
      <c r="GX38" s="482"/>
      <c r="GY38" s="482"/>
      <c r="GZ38" s="482"/>
      <c r="HA38" s="482"/>
      <c r="HB38" s="482"/>
      <c r="HC38" s="482"/>
      <c r="HD38" s="482"/>
      <c r="HE38" s="482"/>
      <c r="HF38" s="482"/>
      <c r="HG38" s="482"/>
      <c r="HH38" s="482"/>
      <c r="HI38" s="482"/>
      <c r="HJ38" s="482"/>
      <c r="HK38" s="482"/>
      <c r="HL38" s="482"/>
      <c r="HM38" s="482"/>
      <c r="HN38" s="482"/>
      <c r="HO38" s="482"/>
      <c r="HP38" s="482"/>
      <c r="HQ38" s="482"/>
      <c r="HR38" s="482"/>
      <c r="HS38" s="482"/>
      <c r="HT38" s="482"/>
      <c r="HU38" s="482"/>
      <c r="HV38" s="482"/>
      <c r="HW38" s="482"/>
      <c r="HX38" s="482"/>
      <c r="HY38" s="482"/>
      <c r="HZ38" s="482"/>
      <c r="IA38" s="482"/>
      <c r="IB38" s="482"/>
      <c r="IC38" s="482"/>
      <c r="ID38" s="482"/>
      <c r="IE38" s="482"/>
      <c r="IF38" s="482"/>
      <c r="IG38" s="482"/>
      <c r="IH38" s="482"/>
      <c r="II38" s="482"/>
      <c r="IJ38" s="482"/>
      <c r="IK38" s="482"/>
      <c r="IL38" s="482"/>
      <c r="IM38" s="482"/>
      <c r="IN38" s="482"/>
      <c r="IO38" s="482"/>
      <c r="IP38" s="482"/>
      <c r="IQ38" s="482"/>
      <c r="IR38" s="482"/>
    </row>
    <row r="39" spans="1:252" ht="18" customHeight="1">
      <c r="A39" s="652"/>
      <c r="B39" s="656" t="s">
        <v>888</v>
      </c>
      <c r="C39" s="498"/>
      <c r="D39" s="489"/>
      <c r="E39" s="490"/>
      <c r="F39" s="654"/>
      <c r="G39" s="498">
        <v>0</v>
      </c>
      <c r="H39" s="489" t="s">
        <v>889</v>
      </c>
      <c r="I39" s="659" t="s">
        <v>890</v>
      </c>
      <c r="J39" s="490">
        <v>0</v>
      </c>
      <c r="K39" s="490"/>
      <c r="L39" s="490"/>
      <c r="M39" s="490"/>
      <c r="N39" s="490"/>
      <c r="O39" s="490"/>
      <c r="P39" s="646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  <c r="BD39" s="482"/>
      <c r="BE39" s="482"/>
      <c r="BF39" s="482"/>
      <c r="BG39" s="482"/>
      <c r="BH39" s="482"/>
      <c r="BI39" s="482"/>
      <c r="BJ39" s="482"/>
      <c r="BK39" s="482"/>
      <c r="BL39" s="482"/>
      <c r="BM39" s="482"/>
      <c r="BN39" s="482"/>
      <c r="BO39" s="482"/>
      <c r="BP39" s="482"/>
      <c r="BQ39" s="482"/>
      <c r="BR39" s="482"/>
      <c r="BS39" s="482"/>
      <c r="BT39" s="482"/>
      <c r="BU39" s="482"/>
      <c r="BV39" s="482"/>
      <c r="BW39" s="482"/>
      <c r="BX39" s="482"/>
      <c r="BY39" s="482"/>
      <c r="BZ39" s="482"/>
      <c r="CA39" s="482"/>
      <c r="CB39" s="482"/>
      <c r="CC39" s="482"/>
      <c r="CD39" s="482"/>
      <c r="CE39" s="482"/>
      <c r="CF39" s="482"/>
      <c r="CG39" s="482"/>
      <c r="CH39" s="482"/>
      <c r="CI39" s="482"/>
      <c r="CJ39" s="482"/>
      <c r="CK39" s="482"/>
      <c r="CL39" s="482"/>
      <c r="CM39" s="482"/>
      <c r="CN39" s="482"/>
      <c r="CO39" s="482"/>
      <c r="CP39" s="482"/>
      <c r="CQ39" s="482"/>
      <c r="CR39" s="482"/>
      <c r="CS39" s="482"/>
      <c r="CT39" s="482"/>
      <c r="CU39" s="482"/>
      <c r="CV39" s="482"/>
      <c r="CW39" s="482"/>
      <c r="CX39" s="482"/>
      <c r="CY39" s="482"/>
      <c r="CZ39" s="482"/>
      <c r="DA39" s="482"/>
      <c r="DB39" s="482"/>
      <c r="DC39" s="482"/>
      <c r="DD39" s="482"/>
      <c r="DE39" s="482"/>
      <c r="DF39" s="482"/>
      <c r="DG39" s="482"/>
      <c r="DH39" s="482"/>
      <c r="DI39" s="482"/>
      <c r="DJ39" s="482"/>
      <c r="DK39" s="482"/>
      <c r="DL39" s="482"/>
      <c r="DM39" s="482"/>
      <c r="DN39" s="482"/>
      <c r="DO39" s="482"/>
      <c r="DP39" s="482"/>
      <c r="DQ39" s="482"/>
      <c r="DR39" s="482"/>
      <c r="DS39" s="482"/>
      <c r="DT39" s="482"/>
      <c r="DU39" s="482"/>
      <c r="DV39" s="482"/>
      <c r="DW39" s="482"/>
      <c r="DX39" s="482"/>
      <c r="DY39" s="482"/>
      <c r="DZ39" s="482"/>
      <c r="EA39" s="482"/>
      <c r="EB39" s="482"/>
      <c r="EC39" s="482"/>
      <c r="ED39" s="482"/>
      <c r="EE39" s="482"/>
      <c r="EF39" s="482"/>
      <c r="EG39" s="482"/>
      <c r="EH39" s="482"/>
      <c r="EI39" s="482"/>
      <c r="EJ39" s="482"/>
      <c r="EK39" s="482"/>
      <c r="EL39" s="482"/>
      <c r="EM39" s="482"/>
      <c r="EN39" s="482"/>
      <c r="EO39" s="482"/>
      <c r="EP39" s="482"/>
      <c r="EQ39" s="482"/>
      <c r="ER39" s="482"/>
      <c r="ES39" s="482"/>
      <c r="ET39" s="482"/>
      <c r="EU39" s="482"/>
      <c r="EV39" s="482"/>
      <c r="EW39" s="482"/>
      <c r="EX39" s="482"/>
      <c r="EY39" s="482"/>
      <c r="EZ39" s="482"/>
      <c r="FA39" s="482"/>
      <c r="FB39" s="482"/>
      <c r="FC39" s="482"/>
      <c r="FD39" s="482"/>
      <c r="FE39" s="482"/>
      <c r="FF39" s="482"/>
      <c r="FG39" s="482"/>
      <c r="FH39" s="482"/>
      <c r="FI39" s="482"/>
      <c r="FJ39" s="482"/>
      <c r="FK39" s="482"/>
      <c r="FL39" s="482"/>
      <c r="FM39" s="482"/>
      <c r="FN39" s="482"/>
      <c r="FO39" s="482"/>
      <c r="FP39" s="482"/>
      <c r="FQ39" s="482"/>
      <c r="FR39" s="482"/>
      <c r="FS39" s="482"/>
      <c r="FT39" s="482"/>
      <c r="FU39" s="482"/>
      <c r="FV39" s="482"/>
      <c r="FW39" s="482"/>
      <c r="FX39" s="482"/>
      <c r="FY39" s="482"/>
      <c r="FZ39" s="482"/>
      <c r="GA39" s="482"/>
      <c r="GB39" s="482"/>
      <c r="GC39" s="482"/>
      <c r="GD39" s="482"/>
      <c r="GE39" s="482"/>
      <c r="GF39" s="482"/>
      <c r="GG39" s="482"/>
      <c r="GH39" s="482"/>
      <c r="GI39" s="482"/>
      <c r="GJ39" s="482"/>
      <c r="GK39" s="482"/>
      <c r="GL39" s="482"/>
      <c r="GM39" s="482"/>
      <c r="GN39" s="482"/>
      <c r="GO39" s="482"/>
      <c r="GP39" s="482"/>
      <c r="GQ39" s="482"/>
      <c r="GR39" s="482"/>
      <c r="GS39" s="482"/>
      <c r="GT39" s="482"/>
      <c r="GU39" s="482"/>
      <c r="GV39" s="482"/>
      <c r="GW39" s="482"/>
      <c r="GX39" s="482"/>
      <c r="GY39" s="482"/>
      <c r="GZ39" s="482"/>
      <c r="HA39" s="482"/>
      <c r="HB39" s="482"/>
      <c r="HC39" s="482"/>
      <c r="HD39" s="482"/>
      <c r="HE39" s="482"/>
      <c r="HF39" s="482"/>
      <c r="HG39" s="482"/>
      <c r="HH39" s="482"/>
      <c r="HI39" s="482"/>
      <c r="HJ39" s="482"/>
      <c r="HK39" s="482"/>
      <c r="HL39" s="482"/>
      <c r="HM39" s="482"/>
      <c r="HN39" s="482"/>
      <c r="HO39" s="482"/>
      <c r="HP39" s="482"/>
      <c r="HQ39" s="482"/>
      <c r="HR39" s="482"/>
      <c r="HS39" s="482"/>
      <c r="HT39" s="482"/>
      <c r="HU39" s="482"/>
      <c r="HV39" s="482"/>
      <c r="HW39" s="482"/>
      <c r="HX39" s="482"/>
      <c r="HY39" s="482"/>
      <c r="HZ39" s="482"/>
      <c r="IA39" s="482"/>
      <c r="IB39" s="482"/>
      <c r="IC39" s="482"/>
      <c r="ID39" s="482"/>
      <c r="IE39" s="482"/>
      <c r="IF39" s="482"/>
      <c r="IG39" s="482"/>
      <c r="IH39" s="482"/>
      <c r="II39" s="482"/>
      <c r="IJ39" s="482"/>
      <c r="IK39" s="482"/>
      <c r="IL39" s="482"/>
      <c r="IM39" s="482"/>
      <c r="IN39" s="482"/>
      <c r="IO39" s="482"/>
      <c r="IP39" s="482"/>
      <c r="IQ39" s="482"/>
      <c r="IR39" s="482"/>
    </row>
    <row r="40" spans="1:252" ht="18" customHeight="1">
      <c r="A40" s="652"/>
      <c r="B40" s="656" t="s">
        <v>891</v>
      </c>
      <c r="C40" s="498"/>
      <c r="D40" s="489"/>
      <c r="E40" s="490"/>
      <c r="F40" s="654"/>
      <c r="G40" s="498">
        <v>0</v>
      </c>
      <c r="H40" s="489" t="s">
        <v>889</v>
      </c>
      <c r="I40" s="659" t="s">
        <v>892</v>
      </c>
      <c r="J40" s="490">
        <v>0</v>
      </c>
      <c r="K40" s="490"/>
      <c r="L40" s="490"/>
      <c r="M40" s="490"/>
      <c r="N40" s="490"/>
      <c r="O40" s="490"/>
      <c r="P40" s="646"/>
      <c r="Q40" s="482"/>
      <c r="R40" s="482"/>
      <c r="S40" s="482"/>
      <c r="T40" s="482"/>
      <c r="U40" s="482"/>
      <c r="V40" s="482"/>
      <c r="W40" s="482"/>
      <c r="X40" s="482"/>
      <c r="Y40" s="482"/>
      <c r="Z40" s="482"/>
      <c r="AA40" s="482"/>
      <c r="AB40" s="482"/>
      <c r="AC40" s="482"/>
      <c r="AD40" s="482"/>
      <c r="AE40" s="482"/>
      <c r="AF40" s="482"/>
      <c r="AG40" s="482"/>
      <c r="AH40" s="482"/>
      <c r="AI40" s="482"/>
      <c r="AJ40" s="482"/>
      <c r="AK40" s="482"/>
      <c r="AL40" s="482"/>
      <c r="AM40" s="482"/>
      <c r="AN40" s="482"/>
      <c r="AO40" s="482"/>
      <c r="AP40" s="482"/>
      <c r="AQ40" s="482"/>
      <c r="AR40" s="482"/>
      <c r="AS40" s="482"/>
      <c r="AT40" s="482"/>
      <c r="AU40" s="482"/>
      <c r="AV40" s="482"/>
      <c r="AW40" s="482"/>
      <c r="AX40" s="482"/>
      <c r="AY40" s="482"/>
      <c r="AZ40" s="482"/>
      <c r="BA40" s="482"/>
      <c r="BB40" s="482"/>
      <c r="BC40" s="482"/>
      <c r="BD40" s="482"/>
      <c r="BE40" s="482"/>
      <c r="BF40" s="482"/>
      <c r="BG40" s="482"/>
      <c r="BH40" s="482"/>
      <c r="BI40" s="482"/>
      <c r="BJ40" s="482"/>
      <c r="BK40" s="482"/>
      <c r="BL40" s="482"/>
      <c r="BM40" s="482"/>
      <c r="BN40" s="482"/>
      <c r="BO40" s="482"/>
      <c r="BP40" s="482"/>
      <c r="BQ40" s="482"/>
      <c r="BR40" s="482"/>
      <c r="BS40" s="482"/>
      <c r="BT40" s="482"/>
      <c r="BU40" s="482"/>
      <c r="BV40" s="482"/>
      <c r="BW40" s="482"/>
      <c r="BX40" s="482"/>
      <c r="BY40" s="482"/>
      <c r="BZ40" s="482"/>
      <c r="CA40" s="482"/>
      <c r="CB40" s="482"/>
      <c r="CC40" s="482"/>
      <c r="CD40" s="482"/>
      <c r="CE40" s="482"/>
      <c r="CF40" s="482"/>
      <c r="CG40" s="482"/>
      <c r="CH40" s="482"/>
      <c r="CI40" s="482"/>
      <c r="CJ40" s="482"/>
      <c r="CK40" s="482"/>
      <c r="CL40" s="482"/>
      <c r="CM40" s="482"/>
      <c r="CN40" s="482"/>
      <c r="CO40" s="482"/>
      <c r="CP40" s="482"/>
      <c r="CQ40" s="482"/>
      <c r="CR40" s="482"/>
      <c r="CS40" s="482"/>
      <c r="CT40" s="482"/>
      <c r="CU40" s="482"/>
      <c r="CV40" s="482"/>
      <c r="CW40" s="482"/>
      <c r="CX40" s="482"/>
      <c r="CY40" s="482"/>
      <c r="CZ40" s="482"/>
      <c r="DA40" s="482"/>
      <c r="DB40" s="482"/>
      <c r="DC40" s="482"/>
      <c r="DD40" s="482"/>
      <c r="DE40" s="482"/>
      <c r="DF40" s="482"/>
      <c r="DG40" s="482"/>
      <c r="DH40" s="482"/>
      <c r="DI40" s="482"/>
      <c r="DJ40" s="482"/>
      <c r="DK40" s="482"/>
      <c r="DL40" s="482"/>
      <c r="DM40" s="482"/>
      <c r="DN40" s="482"/>
      <c r="DO40" s="482"/>
      <c r="DP40" s="482"/>
      <c r="DQ40" s="482"/>
      <c r="DR40" s="482"/>
      <c r="DS40" s="482"/>
      <c r="DT40" s="482"/>
      <c r="DU40" s="482"/>
      <c r="DV40" s="482"/>
      <c r="DW40" s="482"/>
      <c r="DX40" s="482"/>
      <c r="DY40" s="482"/>
      <c r="DZ40" s="482"/>
      <c r="EA40" s="482"/>
      <c r="EB40" s="482"/>
      <c r="EC40" s="482"/>
      <c r="ED40" s="482"/>
      <c r="EE40" s="482"/>
      <c r="EF40" s="482"/>
      <c r="EG40" s="482"/>
      <c r="EH40" s="482"/>
      <c r="EI40" s="482"/>
      <c r="EJ40" s="482"/>
      <c r="EK40" s="482"/>
      <c r="EL40" s="482"/>
      <c r="EM40" s="482"/>
      <c r="EN40" s="482"/>
      <c r="EO40" s="482"/>
      <c r="EP40" s="482"/>
      <c r="EQ40" s="482"/>
      <c r="ER40" s="482"/>
      <c r="ES40" s="482"/>
      <c r="ET40" s="482"/>
      <c r="EU40" s="482"/>
      <c r="EV40" s="482"/>
      <c r="EW40" s="482"/>
      <c r="EX40" s="482"/>
      <c r="EY40" s="482"/>
      <c r="EZ40" s="482"/>
      <c r="FA40" s="482"/>
      <c r="FB40" s="482"/>
      <c r="FC40" s="482"/>
      <c r="FD40" s="482"/>
      <c r="FE40" s="482"/>
      <c r="FF40" s="482"/>
      <c r="FG40" s="482"/>
      <c r="FH40" s="482"/>
      <c r="FI40" s="482"/>
      <c r="FJ40" s="482"/>
      <c r="FK40" s="482"/>
      <c r="FL40" s="482"/>
      <c r="FM40" s="482"/>
      <c r="FN40" s="482"/>
      <c r="FO40" s="482"/>
      <c r="FP40" s="482"/>
      <c r="FQ40" s="482"/>
      <c r="FR40" s="482"/>
      <c r="FS40" s="482"/>
      <c r="FT40" s="482"/>
      <c r="FU40" s="482"/>
      <c r="FV40" s="482"/>
      <c r="FW40" s="482"/>
      <c r="FX40" s="482"/>
      <c r="FY40" s="482"/>
      <c r="FZ40" s="482"/>
      <c r="GA40" s="482"/>
      <c r="GB40" s="482"/>
      <c r="GC40" s="482"/>
      <c r="GD40" s="482"/>
      <c r="GE40" s="482"/>
      <c r="GF40" s="482"/>
      <c r="GG40" s="482"/>
      <c r="GH40" s="482"/>
      <c r="GI40" s="482"/>
      <c r="GJ40" s="482"/>
      <c r="GK40" s="482"/>
      <c r="GL40" s="482"/>
      <c r="GM40" s="482"/>
      <c r="GN40" s="482"/>
      <c r="GO40" s="482"/>
      <c r="GP40" s="482"/>
      <c r="GQ40" s="482"/>
      <c r="GR40" s="482"/>
      <c r="GS40" s="482"/>
      <c r="GT40" s="482"/>
      <c r="GU40" s="482"/>
      <c r="GV40" s="482"/>
      <c r="GW40" s="482"/>
      <c r="GX40" s="482"/>
      <c r="GY40" s="482"/>
      <c r="GZ40" s="482"/>
      <c r="HA40" s="482"/>
      <c r="HB40" s="482"/>
      <c r="HC40" s="482"/>
      <c r="HD40" s="482"/>
      <c r="HE40" s="482"/>
      <c r="HF40" s="482"/>
      <c r="HG40" s="482"/>
      <c r="HH40" s="482"/>
      <c r="HI40" s="482"/>
      <c r="HJ40" s="482"/>
      <c r="HK40" s="482"/>
      <c r="HL40" s="482"/>
      <c r="HM40" s="482"/>
      <c r="HN40" s="482"/>
      <c r="HO40" s="482"/>
      <c r="HP40" s="482"/>
      <c r="HQ40" s="482"/>
      <c r="HR40" s="482"/>
      <c r="HS40" s="482"/>
      <c r="HT40" s="482"/>
      <c r="HU40" s="482"/>
      <c r="HV40" s="482"/>
      <c r="HW40" s="482"/>
      <c r="HX40" s="482"/>
      <c r="HY40" s="482"/>
      <c r="HZ40" s="482"/>
      <c r="IA40" s="482"/>
      <c r="IB40" s="482"/>
      <c r="IC40" s="482"/>
      <c r="ID40" s="482"/>
      <c r="IE40" s="482"/>
      <c r="IF40" s="482"/>
      <c r="IG40" s="482"/>
      <c r="IH40" s="482"/>
      <c r="II40" s="482"/>
      <c r="IJ40" s="482"/>
      <c r="IK40" s="482"/>
      <c r="IL40" s="482"/>
      <c r="IM40" s="482"/>
      <c r="IN40" s="482"/>
      <c r="IO40" s="482"/>
      <c r="IP40" s="482"/>
      <c r="IQ40" s="482"/>
      <c r="IR40" s="482"/>
    </row>
    <row r="41" spans="1:252" ht="18" customHeight="1">
      <c r="A41" s="652"/>
      <c r="B41" s="656" t="s">
        <v>893</v>
      </c>
      <c r="C41" s="498"/>
      <c r="D41" s="489"/>
      <c r="E41" s="490"/>
      <c r="F41" s="654"/>
      <c r="G41" s="498">
        <v>0</v>
      </c>
      <c r="H41" s="489" t="s">
        <v>889</v>
      </c>
      <c r="I41" s="659" t="s">
        <v>894</v>
      </c>
      <c r="J41" s="490">
        <v>0</v>
      </c>
      <c r="K41" s="490"/>
      <c r="L41" s="490"/>
      <c r="M41" s="490"/>
      <c r="N41" s="490"/>
      <c r="O41" s="490"/>
      <c r="P41" s="646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2"/>
      <c r="AR41" s="482"/>
      <c r="AS41" s="482"/>
      <c r="AT41" s="482"/>
      <c r="AU41" s="482"/>
      <c r="AV41" s="482"/>
      <c r="AW41" s="482"/>
      <c r="AX41" s="482"/>
      <c r="AY41" s="482"/>
      <c r="AZ41" s="482"/>
      <c r="BA41" s="482"/>
      <c r="BB41" s="482"/>
      <c r="BC41" s="482"/>
      <c r="BD41" s="482"/>
      <c r="BE41" s="482"/>
      <c r="BF41" s="482"/>
      <c r="BG41" s="482"/>
      <c r="BH41" s="482"/>
      <c r="BI41" s="482"/>
      <c r="BJ41" s="482"/>
      <c r="BK41" s="482"/>
      <c r="BL41" s="482"/>
      <c r="BM41" s="482"/>
      <c r="BN41" s="482"/>
      <c r="BO41" s="482"/>
      <c r="BP41" s="482"/>
      <c r="BQ41" s="482"/>
      <c r="BR41" s="482"/>
      <c r="BS41" s="482"/>
      <c r="BT41" s="482"/>
      <c r="BU41" s="482"/>
      <c r="BV41" s="482"/>
      <c r="BW41" s="482"/>
      <c r="BX41" s="482"/>
      <c r="BY41" s="482"/>
      <c r="BZ41" s="482"/>
      <c r="CA41" s="482"/>
      <c r="CB41" s="482"/>
      <c r="CC41" s="482"/>
      <c r="CD41" s="482"/>
      <c r="CE41" s="482"/>
      <c r="CF41" s="482"/>
      <c r="CG41" s="482"/>
      <c r="CH41" s="482"/>
      <c r="CI41" s="482"/>
      <c r="CJ41" s="482"/>
      <c r="CK41" s="482"/>
      <c r="CL41" s="482"/>
      <c r="CM41" s="482"/>
      <c r="CN41" s="482"/>
      <c r="CO41" s="482"/>
      <c r="CP41" s="482"/>
      <c r="CQ41" s="482"/>
      <c r="CR41" s="482"/>
      <c r="CS41" s="482"/>
      <c r="CT41" s="482"/>
      <c r="CU41" s="482"/>
      <c r="CV41" s="482"/>
      <c r="CW41" s="482"/>
      <c r="CX41" s="482"/>
      <c r="CY41" s="482"/>
      <c r="CZ41" s="482"/>
      <c r="DA41" s="482"/>
      <c r="DB41" s="482"/>
      <c r="DC41" s="482"/>
      <c r="DD41" s="482"/>
      <c r="DE41" s="482"/>
      <c r="DF41" s="482"/>
      <c r="DG41" s="482"/>
      <c r="DH41" s="482"/>
      <c r="DI41" s="482"/>
      <c r="DJ41" s="482"/>
      <c r="DK41" s="482"/>
      <c r="DL41" s="482"/>
      <c r="DM41" s="482"/>
      <c r="DN41" s="482"/>
      <c r="DO41" s="482"/>
      <c r="DP41" s="482"/>
      <c r="DQ41" s="482"/>
      <c r="DR41" s="482"/>
      <c r="DS41" s="482"/>
      <c r="DT41" s="482"/>
      <c r="DU41" s="482"/>
      <c r="DV41" s="482"/>
      <c r="DW41" s="482"/>
      <c r="DX41" s="482"/>
      <c r="DY41" s="482"/>
      <c r="DZ41" s="482"/>
      <c r="EA41" s="482"/>
      <c r="EB41" s="482"/>
      <c r="EC41" s="482"/>
      <c r="ED41" s="482"/>
      <c r="EE41" s="482"/>
      <c r="EF41" s="482"/>
      <c r="EG41" s="482"/>
      <c r="EH41" s="482"/>
      <c r="EI41" s="482"/>
      <c r="EJ41" s="482"/>
      <c r="EK41" s="482"/>
      <c r="EL41" s="482"/>
      <c r="EM41" s="482"/>
      <c r="EN41" s="482"/>
      <c r="EO41" s="482"/>
      <c r="EP41" s="482"/>
      <c r="EQ41" s="482"/>
      <c r="ER41" s="482"/>
      <c r="ES41" s="482"/>
      <c r="ET41" s="482"/>
      <c r="EU41" s="482"/>
      <c r="EV41" s="482"/>
      <c r="EW41" s="482"/>
      <c r="EX41" s="482"/>
      <c r="EY41" s="482"/>
      <c r="EZ41" s="482"/>
      <c r="FA41" s="482"/>
      <c r="FB41" s="482"/>
      <c r="FC41" s="482"/>
      <c r="FD41" s="482"/>
      <c r="FE41" s="482"/>
      <c r="FF41" s="482"/>
      <c r="FG41" s="482"/>
      <c r="FH41" s="482"/>
      <c r="FI41" s="482"/>
      <c r="FJ41" s="482"/>
      <c r="FK41" s="482"/>
      <c r="FL41" s="482"/>
      <c r="FM41" s="482"/>
      <c r="FN41" s="482"/>
      <c r="FO41" s="482"/>
      <c r="FP41" s="482"/>
      <c r="FQ41" s="482"/>
      <c r="FR41" s="482"/>
      <c r="FS41" s="482"/>
      <c r="FT41" s="482"/>
      <c r="FU41" s="482"/>
      <c r="FV41" s="482"/>
      <c r="FW41" s="482"/>
      <c r="FX41" s="482"/>
      <c r="FY41" s="482"/>
      <c r="FZ41" s="482"/>
      <c r="GA41" s="482"/>
      <c r="GB41" s="482"/>
      <c r="GC41" s="482"/>
      <c r="GD41" s="482"/>
      <c r="GE41" s="482"/>
      <c r="GF41" s="482"/>
      <c r="GG41" s="482"/>
      <c r="GH41" s="482"/>
      <c r="GI41" s="482"/>
      <c r="GJ41" s="482"/>
      <c r="GK41" s="482"/>
      <c r="GL41" s="482"/>
      <c r="GM41" s="482"/>
      <c r="GN41" s="482"/>
      <c r="GO41" s="482"/>
      <c r="GP41" s="482"/>
      <c r="GQ41" s="482"/>
      <c r="GR41" s="482"/>
      <c r="GS41" s="482"/>
      <c r="GT41" s="482"/>
      <c r="GU41" s="482"/>
      <c r="GV41" s="482"/>
      <c r="GW41" s="482"/>
      <c r="GX41" s="482"/>
      <c r="GY41" s="482"/>
      <c r="GZ41" s="482"/>
      <c r="HA41" s="482"/>
      <c r="HB41" s="482"/>
      <c r="HC41" s="482"/>
      <c r="HD41" s="482"/>
      <c r="HE41" s="482"/>
      <c r="HF41" s="482"/>
      <c r="HG41" s="482"/>
      <c r="HH41" s="482"/>
      <c r="HI41" s="482"/>
      <c r="HJ41" s="482"/>
      <c r="HK41" s="482"/>
      <c r="HL41" s="482"/>
      <c r="HM41" s="482"/>
      <c r="HN41" s="482"/>
      <c r="HO41" s="482"/>
      <c r="HP41" s="482"/>
      <c r="HQ41" s="482"/>
      <c r="HR41" s="482"/>
      <c r="HS41" s="482"/>
      <c r="HT41" s="482"/>
      <c r="HU41" s="482"/>
      <c r="HV41" s="482"/>
      <c r="HW41" s="482"/>
      <c r="HX41" s="482"/>
      <c r="HY41" s="482"/>
      <c r="HZ41" s="482"/>
      <c r="IA41" s="482"/>
      <c r="IB41" s="482"/>
      <c r="IC41" s="482"/>
      <c r="ID41" s="482"/>
      <c r="IE41" s="482"/>
      <c r="IF41" s="482"/>
      <c r="IG41" s="482"/>
      <c r="IH41" s="482"/>
      <c r="II41" s="482"/>
      <c r="IJ41" s="482"/>
      <c r="IK41" s="482"/>
      <c r="IL41" s="482"/>
      <c r="IM41" s="482"/>
      <c r="IN41" s="482"/>
      <c r="IO41" s="482"/>
      <c r="IP41" s="482"/>
      <c r="IQ41" s="482"/>
      <c r="IR41" s="482"/>
    </row>
    <row r="42" spans="1:252" ht="18" customHeight="1">
      <c r="A42" s="652" t="s">
        <v>895</v>
      </c>
      <c r="B42" s="657" t="s">
        <v>896</v>
      </c>
      <c r="C42" s="498"/>
      <c r="D42" s="489"/>
      <c r="E42" s="490"/>
      <c r="F42" s="654">
        <f>F29+F35</f>
        <v>310583200</v>
      </c>
      <c r="G42" s="498"/>
      <c r="H42" s="489"/>
      <c r="I42" s="490"/>
      <c r="J42" s="654">
        <f>J29+J35+J38</f>
        <v>323608933.3333333</v>
      </c>
      <c r="K42" s="654">
        <f>K29+K35+K38</f>
        <v>323609</v>
      </c>
      <c r="L42" s="654">
        <f>L29+L35+L38</f>
        <v>323609</v>
      </c>
      <c r="M42" s="654">
        <f>M29+M35+M38</f>
        <v>324674</v>
      </c>
      <c r="N42" s="654">
        <f>N29+N35+N36+N38</f>
        <v>327178</v>
      </c>
      <c r="O42" s="654">
        <f>O29+O35+O36+O38</f>
        <v>326357</v>
      </c>
      <c r="P42" s="655">
        <f>P29+P35+P36+P38</f>
        <v>326358</v>
      </c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482"/>
      <c r="AB42" s="482"/>
      <c r="AC42" s="482"/>
      <c r="AD42" s="482"/>
      <c r="AE42" s="482"/>
      <c r="AF42" s="482"/>
      <c r="AG42" s="482"/>
      <c r="AH42" s="482"/>
      <c r="AI42" s="482"/>
      <c r="AJ42" s="482"/>
      <c r="AK42" s="482"/>
      <c r="AL42" s="482"/>
      <c r="AM42" s="482"/>
      <c r="AN42" s="482"/>
      <c r="AO42" s="482"/>
      <c r="AP42" s="482"/>
      <c r="AQ42" s="482"/>
      <c r="AR42" s="482"/>
      <c r="AS42" s="482"/>
      <c r="AT42" s="482"/>
      <c r="AU42" s="482"/>
      <c r="AV42" s="482"/>
      <c r="AW42" s="482"/>
      <c r="AX42" s="482"/>
      <c r="AY42" s="482"/>
      <c r="AZ42" s="482"/>
      <c r="BA42" s="482"/>
      <c r="BB42" s="482"/>
      <c r="BC42" s="482"/>
      <c r="BD42" s="482"/>
      <c r="BE42" s="482"/>
      <c r="BF42" s="482"/>
      <c r="BG42" s="482"/>
      <c r="BH42" s="482"/>
      <c r="BI42" s="482"/>
      <c r="BJ42" s="482"/>
      <c r="BK42" s="482"/>
      <c r="BL42" s="482"/>
      <c r="BM42" s="482"/>
      <c r="BN42" s="482"/>
      <c r="BO42" s="482"/>
      <c r="BP42" s="482"/>
      <c r="BQ42" s="482"/>
      <c r="BR42" s="482"/>
      <c r="BS42" s="482"/>
      <c r="BT42" s="482"/>
      <c r="BU42" s="482"/>
      <c r="BV42" s="482"/>
      <c r="BW42" s="482"/>
      <c r="BX42" s="482"/>
      <c r="BY42" s="482"/>
      <c r="BZ42" s="482"/>
      <c r="CA42" s="482"/>
      <c r="CB42" s="482"/>
      <c r="CC42" s="482"/>
      <c r="CD42" s="482"/>
      <c r="CE42" s="482"/>
      <c r="CF42" s="482"/>
      <c r="CG42" s="482"/>
      <c r="CH42" s="482"/>
      <c r="CI42" s="482"/>
      <c r="CJ42" s="482"/>
      <c r="CK42" s="482"/>
      <c r="CL42" s="482"/>
      <c r="CM42" s="482"/>
      <c r="CN42" s="482"/>
      <c r="CO42" s="482"/>
      <c r="CP42" s="482"/>
      <c r="CQ42" s="482"/>
      <c r="CR42" s="482"/>
      <c r="CS42" s="482"/>
      <c r="CT42" s="482"/>
      <c r="CU42" s="482"/>
      <c r="CV42" s="482"/>
      <c r="CW42" s="482"/>
      <c r="CX42" s="482"/>
      <c r="CY42" s="482"/>
      <c r="CZ42" s="482"/>
      <c r="DA42" s="482"/>
      <c r="DB42" s="482"/>
      <c r="DC42" s="482"/>
      <c r="DD42" s="482"/>
      <c r="DE42" s="482"/>
      <c r="DF42" s="482"/>
      <c r="DG42" s="482"/>
      <c r="DH42" s="482"/>
      <c r="DI42" s="482"/>
      <c r="DJ42" s="482"/>
      <c r="DK42" s="482"/>
      <c r="DL42" s="482"/>
      <c r="DM42" s="482"/>
      <c r="DN42" s="482"/>
      <c r="DO42" s="482"/>
      <c r="DP42" s="482"/>
      <c r="DQ42" s="482"/>
      <c r="DR42" s="482"/>
      <c r="DS42" s="482"/>
      <c r="DT42" s="482"/>
      <c r="DU42" s="482"/>
      <c r="DV42" s="482"/>
      <c r="DW42" s="482"/>
      <c r="DX42" s="482"/>
      <c r="DY42" s="482"/>
      <c r="DZ42" s="482"/>
      <c r="EA42" s="482"/>
      <c r="EB42" s="482"/>
      <c r="EC42" s="482"/>
      <c r="ED42" s="482"/>
      <c r="EE42" s="482"/>
      <c r="EF42" s="482"/>
      <c r="EG42" s="482"/>
      <c r="EH42" s="482"/>
      <c r="EI42" s="482"/>
      <c r="EJ42" s="482"/>
      <c r="EK42" s="482"/>
      <c r="EL42" s="482"/>
      <c r="EM42" s="482"/>
      <c r="EN42" s="482"/>
      <c r="EO42" s="482"/>
      <c r="EP42" s="482"/>
      <c r="EQ42" s="482"/>
      <c r="ER42" s="482"/>
      <c r="ES42" s="482"/>
      <c r="ET42" s="482"/>
      <c r="EU42" s="482"/>
      <c r="EV42" s="482"/>
      <c r="EW42" s="482"/>
      <c r="EX42" s="482"/>
      <c r="EY42" s="482"/>
      <c r="EZ42" s="482"/>
      <c r="FA42" s="482"/>
      <c r="FB42" s="482"/>
      <c r="FC42" s="482"/>
      <c r="FD42" s="482"/>
      <c r="FE42" s="482"/>
      <c r="FF42" s="482"/>
      <c r="FG42" s="482"/>
      <c r="FH42" s="482"/>
      <c r="FI42" s="482"/>
      <c r="FJ42" s="482"/>
      <c r="FK42" s="482"/>
      <c r="FL42" s="482"/>
      <c r="FM42" s="482"/>
      <c r="FN42" s="482"/>
      <c r="FO42" s="482"/>
      <c r="FP42" s="482"/>
      <c r="FQ42" s="482"/>
      <c r="FR42" s="482"/>
      <c r="FS42" s="482"/>
      <c r="FT42" s="482"/>
      <c r="FU42" s="482"/>
      <c r="FV42" s="482"/>
      <c r="FW42" s="482"/>
      <c r="FX42" s="482"/>
      <c r="FY42" s="482"/>
      <c r="FZ42" s="482"/>
      <c r="GA42" s="482"/>
      <c r="GB42" s="482"/>
      <c r="GC42" s="482"/>
      <c r="GD42" s="482"/>
      <c r="GE42" s="482"/>
      <c r="GF42" s="482"/>
      <c r="GG42" s="482"/>
      <c r="GH42" s="482"/>
      <c r="GI42" s="482"/>
      <c r="GJ42" s="482"/>
      <c r="GK42" s="482"/>
      <c r="GL42" s="482"/>
      <c r="GM42" s="482"/>
      <c r="GN42" s="482"/>
      <c r="GO42" s="482"/>
      <c r="GP42" s="482"/>
      <c r="GQ42" s="482"/>
      <c r="GR42" s="482"/>
      <c r="GS42" s="482"/>
      <c r="GT42" s="482"/>
      <c r="GU42" s="482"/>
      <c r="GV42" s="482"/>
      <c r="GW42" s="482"/>
      <c r="GX42" s="482"/>
      <c r="GY42" s="482"/>
      <c r="GZ42" s="482"/>
      <c r="HA42" s="482"/>
      <c r="HB42" s="482"/>
      <c r="HC42" s="482"/>
      <c r="HD42" s="482"/>
      <c r="HE42" s="482"/>
      <c r="HF42" s="482"/>
      <c r="HG42" s="482"/>
      <c r="HH42" s="482"/>
      <c r="HI42" s="482"/>
      <c r="HJ42" s="482"/>
      <c r="HK42" s="482"/>
      <c r="HL42" s="482"/>
      <c r="HM42" s="482"/>
      <c r="HN42" s="482"/>
      <c r="HO42" s="482"/>
      <c r="HP42" s="482"/>
      <c r="HQ42" s="482"/>
      <c r="HR42" s="482"/>
      <c r="HS42" s="482"/>
      <c r="HT42" s="482"/>
      <c r="HU42" s="482"/>
      <c r="HV42" s="482"/>
      <c r="HW42" s="482"/>
      <c r="HX42" s="482"/>
      <c r="HY42" s="482"/>
      <c r="HZ42" s="482"/>
      <c r="IA42" s="482"/>
      <c r="IB42" s="482"/>
      <c r="IC42" s="482"/>
      <c r="ID42" s="482"/>
      <c r="IE42" s="482"/>
      <c r="IF42" s="482"/>
      <c r="IG42" s="482"/>
      <c r="IH42" s="482"/>
      <c r="II42" s="482"/>
      <c r="IJ42" s="482"/>
      <c r="IK42" s="482"/>
      <c r="IL42" s="482"/>
      <c r="IM42" s="482"/>
      <c r="IN42" s="482"/>
      <c r="IO42" s="482"/>
      <c r="IP42" s="482"/>
      <c r="IQ42" s="482"/>
      <c r="IR42" s="482"/>
    </row>
    <row r="43" spans="1:252" ht="18" customHeight="1">
      <c r="A43" s="652" t="s">
        <v>897</v>
      </c>
      <c r="B43" s="657" t="s">
        <v>898</v>
      </c>
      <c r="C43" s="498"/>
      <c r="D43" s="489"/>
      <c r="E43" s="490"/>
      <c r="F43" s="654">
        <v>92850000</v>
      </c>
      <c r="G43" s="498"/>
      <c r="H43" s="489"/>
      <c r="I43" s="490"/>
      <c r="J43" s="654">
        <v>12701000</v>
      </c>
      <c r="K43" s="654">
        <v>12701</v>
      </c>
      <c r="L43" s="654">
        <f>12701+6267</f>
        <v>18968</v>
      </c>
      <c r="M43" s="654">
        <f>12701+6267</f>
        <v>18968</v>
      </c>
      <c r="N43" s="654">
        <f>12701+6267</f>
        <v>18968</v>
      </c>
      <c r="O43" s="654">
        <f>18968+4667</f>
        <v>23635</v>
      </c>
      <c r="P43" s="655">
        <v>23635</v>
      </c>
      <c r="Q43" s="482"/>
      <c r="R43" s="482"/>
      <c r="S43" s="482"/>
      <c r="T43" s="482"/>
      <c r="U43" s="482"/>
      <c r="V43" s="482"/>
      <c r="W43" s="482"/>
      <c r="X43" s="482"/>
      <c r="Y43" s="482"/>
      <c r="Z43" s="482"/>
      <c r="AA43" s="482"/>
      <c r="AB43" s="482"/>
      <c r="AC43" s="482"/>
      <c r="AD43" s="482"/>
      <c r="AE43" s="482"/>
      <c r="AF43" s="482"/>
      <c r="AG43" s="482"/>
      <c r="AH43" s="482"/>
      <c r="AI43" s="482"/>
      <c r="AJ43" s="482"/>
      <c r="AK43" s="482"/>
      <c r="AL43" s="482"/>
      <c r="AM43" s="482"/>
      <c r="AN43" s="482"/>
      <c r="AO43" s="482"/>
      <c r="AP43" s="482"/>
      <c r="AQ43" s="482"/>
      <c r="AR43" s="482"/>
      <c r="AS43" s="482"/>
      <c r="AT43" s="482"/>
      <c r="AU43" s="482"/>
      <c r="AV43" s="482"/>
      <c r="AW43" s="482"/>
      <c r="AX43" s="482"/>
      <c r="AY43" s="482"/>
      <c r="AZ43" s="482"/>
      <c r="BA43" s="482"/>
      <c r="BB43" s="482"/>
      <c r="BC43" s="482"/>
      <c r="BD43" s="482"/>
      <c r="BE43" s="482"/>
      <c r="BF43" s="482"/>
      <c r="BG43" s="482"/>
      <c r="BH43" s="482"/>
      <c r="BI43" s="482"/>
      <c r="BJ43" s="482"/>
      <c r="BK43" s="482"/>
      <c r="BL43" s="482"/>
      <c r="BM43" s="482"/>
      <c r="BN43" s="482"/>
      <c r="BO43" s="482"/>
      <c r="BP43" s="482"/>
      <c r="BQ43" s="482"/>
      <c r="BR43" s="482"/>
      <c r="BS43" s="482"/>
      <c r="BT43" s="482"/>
      <c r="BU43" s="482"/>
      <c r="BV43" s="482"/>
      <c r="BW43" s="482"/>
      <c r="BX43" s="482"/>
      <c r="BY43" s="482"/>
      <c r="BZ43" s="482"/>
      <c r="CA43" s="482"/>
      <c r="CB43" s="482"/>
      <c r="CC43" s="482"/>
      <c r="CD43" s="482"/>
      <c r="CE43" s="482"/>
      <c r="CF43" s="482"/>
      <c r="CG43" s="482"/>
      <c r="CH43" s="482"/>
      <c r="CI43" s="482"/>
      <c r="CJ43" s="482"/>
      <c r="CK43" s="482"/>
      <c r="CL43" s="482"/>
      <c r="CM43" s="482"/>
      <c r="CN43" s="482"/>
      <c r="CO43" s="482"/>
      <c r="CP43" s="482"/>
      <c r="CQ43" s="482"/>
      <c r="CR43" s="482"/>
      <c r="CS43" s="482"/>
      <c r="CT43" s="482"/>
      <c r="CU43" s="482"/>
      <c r="CV43" s="482"/>
      <c r="CW43" s="482"/>
      <c r="CX43" s="482"/>
      <c r="CY43" s="482"/>
      <c r="CZ43" s="482"/>
      <c r="DA43" s="482"/>
      <c r="DB43" s="482"/>
      <c r="DC43" s="482"/>
      <c r="DD43" s="482"/>
      <c r="DE43" s="482"/>
      <c r="DF43" s="482"/>
      <c r="DG43" s="482"/>
      <c r="DH43" s="482"/>
      <c r="DI43" s="482"/>
      <c r="DJ43" s="482"/>
      <c r="DK43" s="482"/>
      <c r="DL43" s="482"/>
      <c r="DM43" s="482"/>
      <c r="DN43" s="482"/>
      <c r="DO43" s="482"/>
      <c r="DP43" s="482"/>
      <c r="DQ43" s="482"/>
      <c r="DR43" s="482"/>
      <c r="DS43" s="482"/>
      <c r="DT43" s="482"/>
      <c r="DU43" s="482"/>
      <c r="DV43" s="482"/>
      <c r="DW43" s="482"/>
      <c r="DX43" s="482"/>
      <c r="DY43" s="482"/>
      <c r="DZ43" s="482"/>
      <c r="EA43" s="482"/>
      <c r="EB43" s="482"/>
      <c r="EC43" s="482"/>
      <c r="ED43" s="482"/>
      <c r="EE43" s="482"/>
      <c r="EF43" s="482"/>
      <c r="EG43" s="482"/>
      <c r="EH43" s="482"/>
      <c r="EI43" s="482"/>
      <c r="EJ43" s="482"/>
      <c r="EK43" s="482"/>
      <c r="EL43" s="482"/>
      <c r="EM43" s="482"/>
      <c r="EN43" s="482"/>
      <c r="EO43" s="482"/>
      <c r="EP43" s="482"/>
      <c r="EQ43" s="482"/>
      <c r="ER43" s="482"/>
      <c r="ES43" s="482"/>
      <c r="ET43" s="482"/>
      <c r="EU43" s="482"/>
      <c r="EV43" s="482"/>
      <c r="EW43" s="482"/>
      <c r="EX43" s="482"/>
      <c r="EY43" s="482"/>
      <c r="EZ43" s="482"/>
      <c r="FA43" s="482"/>
      <c r="FB43" s="482"/>
      <c r="FC43" s="482"/>
      <c r="FD43" s="482"/>
      <c r="FE43" s="482"/>
      <c r="FF43" s="482"/>
      <c r="FG43" s="482"/>
      <c r="FH43" s="482"/>
      <c r="FI43" s="482"/>
      <c r="FJ43" s="482"/>
      <c r="FK43" s="482"/>
      <c r="FL43" s="482"/>
      <c r="FM43" s="482"/>
      <c r="FN43" s="482"/>
      <c r="FO43" s="482"/>
      <c r="FP43" s="482"/>
      <c r="FQ43" s="482"/>
      <c r="FR43" s="482"/>
      <c r="FS43" s="482"/>
      <c r="FT43" s="482"/>
      <c r="FU43" s="482"/>
      <c r="FV43" s="482"/>
      <c r="FW43" s="482"/>
      <c r="FX43" s="482"/>
      <c r="FY43" s="482"/>
      <c r="FZ43" s="482"/>
      <c r="GA43" s="482"/>
      <c r="GB43" s="482"/>
      <c r="GC43" s="482"/>
      <c r="GD43" s="482"/>
      <c r="GE43" s="482"/>
      <c r="GF43" s="482"/>
      <c r="GG43" s="482"/>
      <c r="GH43" s="482"/>
      <c r="GI43" s="482"/>
      <c r="GJ43" s="482"/>
      <c r="GK43" s="482"/>
      <c r="GL43" s="482"/>
      <c r="GM43" s="482"/>
      <c r="GN43" s="482"/>
      <c r="GO43" s="482"/>
      <c r="GP43" s="482"/>
      <c r="GQ43" s="482"/>
      <c r="GR43" s="482"/>
      <c r="GS43" s="482"/>
      <c r="GT43" s="482"/>
      <c r="GU43" s="482"/>
      <c r="GV43" s="482"/>
      <c r="GW43" s="482"/>
      <c r="GX43" s="482"/>
      <c r="GY43" s="482"/>
      <c r="GZ43" s="482"/>
      <c r="HA43" s="482"/>
      <c r="HB43" s="482"/>
      <c r="HC43" s="482"/>
      <c r="HD43" s="482"/>
      <c r="HE43" s="482"/>
      <c r="HF43" s="482"/>
      <c r="HG43" s="482"/>
      <c r="HH43" s="482"/>
      <c r="HI43" s="482"/>
      <c r="HJ43" s="482"/>
      <c r="HK43" s="482"/>
      <c r="HL43" s="482"/>
      <c r="HM43" s="482"/>
      <c r="HN43" s="482"/>
      <c r="HO43" s="482"/>
      <c r="HP43" s="482"/>
      <c r="HQ43" s="482"/>
      <c r="HR43" s="482"/>
      <c r="HS43" s="482"/>
      <c r="HT43" s="482"/>
      <c r="HU43" s="482"/>
      <c r="HV43" s="482"/>
      <c r="HW43" s="482"/>
      <c r="HX43" s="482"/>
      <c r="HY43" s="482"/>
      <c r="HZ43" s="482"/>
      <c r="IA43" s="482"/>
      <c r="IB43" s="482"/>
      <c r="IC43" s="482"/>
      <c r="ID43" s="482"/>
      <c r="IE43" s="482"/>
      <c r="IF43" s="482"/>
      <c r="IG43" s="482"/>
      <c r="IH43" s="482"/>
      <c r="II43" s="482"/>
      <c r="IJ43" s="482"/>
      <c r="IK43" s="482"/>
      <c r="IL43" s="482"/>
      <c r="IM43" s="482"/>
      <c r="IN43" s="482"/>
      <c r="IO43" s="482"/>
      <c r="IP43" s="482"/>
      <c r="IQ43" s="482"/>
      <c r="IR43" s="482"/>
    </row>
    <row r="44" spans="1:252" ht="15.75">
      <c r="A44" s="644" t="s">
        <v>899</v>
      </c>
      <c r="B44" s="645" t="s">
        <v>900</v>
      </c>
      <c r="C44" s="498"/>
      <c r="D44" s="489"/>
      <c r="E44" s="490"/>
      <c r="F44" s="490"/>
      <c r="G44" s="498"/>
      <c r="H44" s="489"/>
      <c r="I44" s="490"/>
      <c r="J44" s="490"/>
      <c r="K44" s="490"/>
      <c r="L44" s="490"/>
      <c r="M44" s="490"/>
      <c r="N44" s="490"/>
      <c r="O44" s="490"/>
      <c r="P44" s="646"/>
      <c r="Q44" s="482"/>
      <c r="R44" s="482"/>
      <c r="S44" s="482"/>
      <c r="T44" s="482"/>
      <c r="U44" s="482"/>
      <c r="V44" s="482"/>
      <c r="W44" s="482"/>
      <c r="X44" s="482"/>
      <c r="Y44" s="482"/>
      <c r="Z44" s="482"/>
      <c r="AA44" s="482"/>
      <c r="AB44" s="482"/>
      <c r="AC44" s="482"/>
      <c r="AD44" s="482"/>
      <c r="AE44" s="482"/>
      <c r="AF44" s="482"/>
      <c r="AG44" s="482"/>
      <c r="AH44" s="482"/>
      <c r="AI44" s="482"/>
      <c r="AJ44" s="482"/>
      <c r="AK44" s="482"/>
      <c r="AL44" s="482"/>
      <c r="AM44" s="482"/>
      <c r="AN44" s="482"/>
      <c r="AO44" s="482"/>
      <c r="AP44" s="482"/>
      <c r="AQ44" s="482"/>
      <c r="AR44" s="482"/>
      <c r="AS44" s="482"/>
      <c r="AT44" s="482"/>
      <c r="AU44" s="482"/>
      <c r="AV44" s="482"/>
      <c r="AW44" s="482"/>
      <c r="AX44" s="482"/>
      <c r="AY44" s="482"/>
      <c r="AZ44" s="482"/>
      <c r="BA44" s="482"/>
      <c r="BB44" s="482"/>
      <c r="BC44" s="482"/>
      <c r="BD44" s="482"/>
      <c r="BE44" s="482"/>
      <c r="BF44" s="482"/>
      <c r="BG44" s="482"/>
      <c r="BH44" s="482"/>
      <c r="BI44" s="482"/>
      <c r="BJ44" s="482"/>
      <c r="BK44" s="482"/>
      <c r="BL44" s="482"/>
      <c r="BM44" s="482"/>
      <c r="BN44" s="482"/>
      <c r="BO44" s="482"/>
      <c r="BP44" s="482"/>
      <c r="BQ44" s="482"/>
      <c r="BR44" s="482"/>
      <c r="BS44" s="482"/>
      <c r="BT44" s="482"/>
      <c r="BU44" s="482"/>
      <c r="BV44" s="482"/>
      <c r="BW44" s="482"/>
      <c r="BX44" s="482"/>
      <c r="BY44" s="482"/>
      <c r="BZ44" s="482"/>
      <c r="CA44" s="482"/>
      <c r="CB44" s="482"/>
      <c r="CC44" s="482"/>
      <c r="CD44" s="482"/>
      <c r="CE44" s="482"/>
      <c r="CF44" s="482"/>
      <c r="CG44" s="482"/>
      <c r="CH44" s="482"/>
      <c r="CI44" s="482"/>
      <c r="CJ44" s="482"/>
      <c r="CK44" s="482"/>
      <c r="CL44" s="482"/>
      <c r="CM44" s="482"/>
      <c r="CN44" s="482"/>
      <c r="CO44" s="482"/>
      <c r="CP44" s="482"/>
      <c r="CQ44" s="482"/>
      <c r="CR44" s="482"/>
      <c r="CS44" s="482"/>
      <c r="CT44" s="482"/>
      <c r="CU44" s="482"/>
      <c r="CV44" s="482"/>
      <c r="CW44" s="482"/>
      <c r="CX44" s="482"/>
      <c r="CY44" s="482"/>
      <c r="CZ44" s="482"/>
      <c r="DA44" s="482"/>
      <c r="DB44" s="482"/>
      <c r="DC44" s="482"/>
      <c r="DD44" s="482"/>
      <c r="DE44" s="482"/>
      <c r="DF44" s="482"/>
      <c r="DG44" s="482"/>
      <c r="DH44" s="482"/>
      <c r="DI44" s="482"/>
      <c r="DJ44" s="482"/>
      <c r="DK44" s="482"/>
      <c r="DL44" s="482"/>
      <c r="DM44" s="482"/>
      <c r="DN44" s="482"/>
      <c r="DO44" s="482"/>
      <c r="DP44" s="482"/>
      <c r="DQ44" s="482"/>
      <c r="DR44" s="482"/>
      <c r="DS44" s="482"/>
      <c r="DT44" s="482"/>
      <c r="DU44" s="482"/>
      <c r="DV44" s="482"/>
      <c r="DW44" s="482"/>
      <c r="DX44" s="482"/>
      <c r="DY44" s="482"/>
      <c r="DZ44" s="482"/>
      <c r="EA44" s="482"/>
      <c r="EB44" s="482"/>
      <c r="EC44" s="482"/>
      <c r="ED44" s="482"/>
      <c r="EE44" s="482"/>
      <c r="EF44" s="482"/>
      <c r="EG44" s="482"/>
      <c r="EH44" s="482"/>
      <c r="EI44" s="482"/>
      <c r="EJ44" s="482"/>
      <c r="EK44" s="482"/>
      <c r="EL44" s="482"/>
      <c r="EM44" s="482"/>
      <c r="EN44" s="482"/>
      <c r="EO44" s="482"/>
      <c r="EP44" s="482"/>
      <c r="EQ44" s="482"/>
      <c r="ER44" s="482"/>
      <c r="ES44" s="482"/>
      <c r="ET44" s="482"/>
      <c r="EU44" s="482"/>
      <c r="EV44" s="482"/>
      <c r="EW44" s="482"/>
      <c r="EX44" s="482"/>
      <c r="EY44" s="482"/>
      <c r="EZ44" s="482"/>
      <c r="FA44" s="482"/>
      <c r="FB44" s="482"/>
      <c r="FC44" s="482"/>
      <c r="FD44" s="482"/>
      <c r="FE44" s="482"/>
      <c r="FF44" s="482"/>
      <c r="FG44" s="482"/>
      <c r="FH44" s="482"/>
      <c r="FI44" s="482"/>
      <c r="FJ44" s="482"/>
      <c r="FK44" s="482"/>
      <c r="FL44" s="482"/>
      <c r="FM44" s="482"/>
      <c r="FN44" s="482"/>
      <c r="FO44" s="482"/>
      <c r="FP44" s="482"/>
      <c r="FQ44" s="482"/>
      <c r="FR44" s="482"/>
      <c r="FS44" s="482"/>
      <c r="FT44" s="482"/>
      <c r="FU44" s="482"/>
      <c r="FV44" s="482"/>
      <c r="FW44" s="482"/>
      <c r="FX44" s="482"/>
      <c r="FY44" s="482"/>
      <c r="FZ44" s="482"/>
      <c r="GA44" s="482"/>
      <c r="GB44" s="482"/>
      <c r="GC44" s="482"/>
      <c r="GD44" s="482"/>
      <c r="GE44" s="482"/>
      <c r="GF44" s="482"/>
      <c r="GG44" s="482"/>
      <c r="GH44" s="482"/>
      <c r="GI44" s="482"/>
      <c r="GJ44" s="482"/>
      <c r="GK44" s="482"/>
      <c r="GL44" s="482"/>
      <c r="GM44" s="482"/>
      <c r="GN44" s="482"/>
      <c r="GO44" s="482"/>
      <c r="GP44" s="482"/>
      <c r="GQ44" s="482"/>
      <c r="GR44" s="482"/>
      <c r="GS44" s="482"/>
      <c r="GT44" s="482"/>
      <c r="GU44" s="482"/>
      <c r="GV44" s="482"/>
      <c r="GW44" s="482"/>
      <c r="GX44" s="482"/>
      <c r="GY44" s="482"/>
      <c r="GZ44" s="482"/>
      <c r="HA44" s="482"/>
      <c r="HB44" s="482"/>
      <c r="HC44" s="482"/>
      <c r="HD44" s="482"/>
      <c r="HE44" s="482"/>
      <c r="HF44" s="482"/>
      <c r="HG44" s="482"/>
      <c r="HH44" s="482"/>
      <c r="HI44" s="482"/>
      <c r="HJ44" s="482"/>
      <c r="HK44" s="482"/>
      <c r="HL44" s="482"/>
      <c r="HM44" s="482"/>
      <c r="HN44" s="482"/>
      <c r="HO44" s="482"/>
      <c r="HP44" s="482"/>
      <c r="HQ44" s="482"/>
      <c r="HR44" s="482"/>
      <c r="HS44" s="482"/>
      <c r="HT44" s="482"/>
      <c r="HU44" s="482"/>
      <c r="HV44" s="482"/>
      <c r="HW44" s="482"/>
      <c r="HX44" s="482"/>
      <c r="HY44" s="482"/>
      <c r="HZ44" s="482"/>
      <c r="IA44" s="482"/>
      <c r="IB44" s="482"/>
      <c r="IC44" s="482"/>
      <c r="ID44" s="482"/>
      <c r="IE44" s="482"/>
      <c r="IF44" s="482"/>
      <c r="IG44" s="482"/>
      <c r="IH44" s="482"/>
      <c r="II44" s="482"/>
      <c r="IJ44" s="482"/>
      <c r="IK44" s="482"/>
      <c r="IL44" s="482"/>
      <c r="IM44" s="482"/>
      <c r="IN44" s="482"/>
      <c r="IO44" s="482"/>
      <c r="IP44" s="482"/>
      <c r="IQ44" s="482"/>
      <c r="IR44" s="482"/>
    </row>
    <row r="45" spans="1:252" ht="17.25" customHeight="1">
      <c r="A45" s="644" t="s">
        <v>901</v>
      </c>
      <c r="B45" s="645" t="s">
        <v>902</v>
      </c>
      <c r="C45" s="505">
        <v>7.831</v>
      </c>
      <c r="D45" s="489" t="s">
        <v>832</v>
      </c>
      <c r="E45" s="490">
        <v>3950000</v>
      </c>
      <c r="F45" s="490">
        <f>C45*3950000</f>
        <v>30932450</v>
      </c>
      <c r="G45" s="506">
        <v>7.8076</v>
      </c>
      <c r="H45" s="489" t="s">
        <v>903</v>
      </c>
      <c r="I45" s="490">
        <v>3950000</v>
      </c>
      <c r="J45" s="490">
        <f>G45*I45</f>
        <v>30840020</v>
      </c>
      <c r="K45" s="490">
        <v>30840</v>
      </c>
      <c r="L45" s="490">
        <v>30840</v>
      </c>
      <c r="M45" s="490">
        <v>30840</v>
      </c>
      <c r="N45" s="490">
        <v>30840</v>
      </c>
      <c r="O45" s="490">
        <v>30840</v>
      </c>
      <c r="P45" s="646">
        <v>30840</v>
      </c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2"/>
      <c r="AG45" s="482"/>
      <c r="AH45" s="482"/>
      <c r="AI45" s="482"/>
      <c r="AJ45" s="482"/>
      <c r="AK45" s="482"/>
      <c r="AL45" s="482"/>
      <c r="AM45" s="482"/>
      <c r="AN45" s="482"/>
      <c r="AO45" s="482"/>
      <c r="AP45" s="482"/>
      <c r="AQ45" s="482"/>
      <c r="AR45" s="482"/>
      <c r="AS45" s="482"/>
      <c r="AT45" s="482"/>
      <c r="AU45" s="482"/>
      <c r="AV45" s="482"/>
      <c r="AW45" s="482"/>
      <c r="AX45" s="482"/>
      <c r="AY45" s="482"/>
      <c r="AZ45" s="482"/>
      <c r="BA45" s="482"/>
      <c r="BB45" s="482"/>
      <c r="BC45" s="482"/>
      <c r="BD45" s="482"/>
      <c r="BE45" s="482"/>
      <c r="BF45" s="482"/>
      <c r="BG45" s="482"/>
      <c r="BH45" s="482"/>
      <c r="BI45" s="482"/>
      <c r="BJ45" s="482"/>
      <c r="BK45" s="482"/>
      <c r="BL45" s="482"/>
      <c r="BM45" s="482"/>
      <c r="BN45" s="482"/>
      <c r="BO45" s="482"/>
      <c r="BP45" s="482"/>
      <c r="BQ45" s="482"/>
      <c r="BR45" s="482"/>
      <c r="BS45" s="482"/>
      <c r="BT45" s="482"/>
      <c r="BU45" s="482"/>
      <c r="BV45" s="482"/>
      <c r="BW45" s="482"/>
      <c r="BX45" s="482"/>
      <c r="BY45" s="482"/>
      <c r="BZ45" s="482"/>
      <c r="CA45" s="482"/>
      <c r="CB45" s="482"/>
      <c r="CC45" s="482"/>
      <c r="CD45" s="482"/>
      <c r="CE45" s="482"/>
      <c r="CF45" s="482"/>
      <c r="CG45" s="482"/>
      <c r="CH45" s="482"/>
      <c r="CI45" s="482"/>
      <c r="CJ45" s="482"/>
      <c r="CK45" s="482"/>
      <c r="CL45" s="482"/>
      <c r="CM45" s="482"/>
      <c r="CN45" s="482"/>
      <c r="CO45" s="482"/>
      <c r="CP45" s="482"/>
      <c r="CQ45" s="482"/>
      <c r="CR45" s="482"/>
      <c r="CS45" s="482"/>
      <c r="CT45" s="482"/>
      <c r="CU45" s="482"/>
      <c r="CV45" s="482"/>
      <c r="CW45" s="482"/>
      <c r="CX45" s="482"/>
      <c r="CY45" s="482"/>
      <c r="CZ45" s="482"/>
      <c r="DA45" s="482"/>
      <c r="DB45" s="482"/>
      <c r="DC45" s="482"/>
      <c r="DD45" s="482"/>
      <c r="DE45" s="482"/>
      <c r="DF45" s="482"/>
      <c r="DG45" s="482"/>
      <c r="DH45" s="482"/>
      <c r="DI45" s="482"/>
      <c r="DJ45" s="482"/>
      <c r="DK45" s="482"/>
      <c r="DL45" s="482"/>
      <c r="DM45" s="482"/>
      <c r="DN45" s="482"/>
      <c r="DO45" s="482"/>
      <c r="DP45" s="482"/>
      <c r="DQ45" s="482"/>
      <c r="DR45" s="482"/>
      <c r="DS45" s="482"/>
      <c r="DT45" s="482"/>
      <c r="DU45" s="482"/>
      <c r="DV45" s="482"/>
      <c r="DW45" s="482"/>
      <c r="DX45" s="482"/>
      <c r="DY45" s="482"/>
      <c r="DZ45" s="482"/>
      <c r="EA45" s="482"/>
      <c r="EB45" s="482"/>
      <c r="EC45" s="482"/>
      <c r="ED45" s="482"/>
      <c r="EE45" s="482"/>
      <c r="EF45" s="482"/>
      <c r="EG45" s="482"/>
      <c r="EH45" s="482"/>
      <c r="EI45" s="482"/>
      <c r="EJ45" s="482"/>
      <c r="EK45" s="482"/>
      <c r="EL45" s="482"/>
      <c r="EM45" s="482"/>
      <c r="EN45" s="482"/>
      <c r="EO45" s="482"/>
      <c r="EP45" s="482"/>
      <c r="EQ45" s="482"/>
      <c r="ER45" s="482"/>
      <c r="ES45" s="482"/>
      <c r="ET45" s="482"/>
      <c r="EU45" s="482"/>
      <c r="EV45" s="482"/>
      <c r="EW45" s="482"/>
      <c r="EX45" s="482"/>
      <c r="EY45" s="482"/>
      <c r="EZ45" s="482"/>
      <c r="FA45" s="482"/>
      <c r="FB45" s="482"/>
      <c r="FC45" s="482"/>
      <c r="FD45" s="482"/>
      <c r="FE45" s="482"/>
      <c r="FF45" s="482"/>
      <c r="FG45" s="482"/>
      <c r="FH45" s="482"/>
      <c r="FI45" s="482"/>
      <c r="FJ45" s="482"/>
      <c r="FK45" s="482"/>
      <c r="FL45" s="482"/>
      <c r="FM45" s="482"/>
      <c r="FN45" s="482"/>
      <c r="FO45" s="482"/>
      <c r="FP45" s="482"/>
      <c r="FQ45" s="482"/>
      <c r="FR45" s="482"/>
      <c r="FS45" s="482"/>
      <c r="FT45" s="482"/>
      <c r="FU45" s="482"/>
      <c r="FV45" s="482"/>
      <c r="FW45" s="482"/>
      <c r="FX45" s="482"/>
      <c r="FY45" s="482"/>
      <c r="FZ45" s="482"/>
      <c r="GA45" s="482"/>
      <c r="GB45" s="482"/>
      <c r="GC45" s="482"/>
      <c r="GD45" s="482"/>
      <c r="GE45" s="482"/>
      <c r="GF45" s="482"/>
      <c r="GG45" s="482"/>
      <c r="GH45" s="482"/>
      <c r="GI45" s="482"/>
      <c r="GJ45" s="482"/>
      <c r="GK45" s="482"/>
      <c r="GL45" s="482"/>
      <c r="GM45" s="482"/>
      <c r="GN45" s="482"/>
      <c r="GO45" s="482"/>
      <c r="GP45" s="482"/>
      <c r="GQ45" s="482"/>
      <c r="GR45" s="482"/>
      <c r="GS45" s="482"/>
      <c r="GT45" s="482"/>
      <c r="GU45" s="482"/>
      <c r="GV45" s="482"/>
      <c r="GW45" s="482"/>
      <c r="GX45" s="482"/>
      <c r="GY45" s="482"/>
      <c r="GZ45" s="482"/>
      <c r="HA45" s="482"/>
      <c r="HB45" s="482"/>
      <c r="HC45" s="482"/>
      <c r="HD45" s="482"/>
      <c r="HE45" s="482"/>
      <c r="HF45" s="482"/>
      <c r="HG45" s="482"/>
      <c r="HH45" s="482"/>
      <c r="HI45" s="482"/>
      <c r="HJ45" s="482"/>
      <c r="HK45" s="482"/>
      <c r="HL45" s="482"/>
      <c r="HM45" s="482"/>
      <c r="HN45" s="482"/>
      <c r="HO45" s="482"/>
      <c r="HP45" s="482"/>
      <c r="HQ45" s="482"/>
      <c r="HR45" s="482"/>
      <c r="HS45" s="482"/>
      <c r="HT45" s="482"/>
      <c r="HU45" s="482"/>
      <c r="HV45" s="482"/>
      <c r="HW45" s="482"/>
      <c r="HX45" s="482"/>
      <c r="HY45" s="482"/>
      <c r="HZ45" s="482"/>
      <c r="IA45" s="482"/>
      <c r="IB45" s="482"/>
      <c r="IC45" s="482"/>
      <c r="ID45" s="482"/>
      <c r="IE45" s="482"/>
      <c r="IF45" s="482"/>
      <c r="IG45" s="482"/>
      <c r="IH45" s="482"/>
      <c r="II45" s="482"/>
      <c r="IJ45" s="482"/>
      <c r="IK45" s="482"/>
      <c r="IL45" s="482"/>
      <c r="IM45" s="482"/>
      <c r="IN45" s="482"/>
      <c r="IO45" s="482"/>
      <c r="IP45" s="482"/>
      <c r="IQ45" s="482"/>
      <c r="IR45" s="482"/>
    </row>
    <row r="46" spans="1:252" ht="17.25" customHeight="1">
      <c r="A46" s="644" t="s">
        <v>904</v>
      </c>
      <c r="B46" s="658" t="s">
        <v>905</v>
      </c>
      <c r="C46" s="490">
        <v>39155</v>
      </c>
      <c r="D46" s="489" t="s">
        <v>832</v>
      </c>
      <c r="E46" s="490">
        <v>300</v>
      </c>
      <c r="F46" s="490">
        <f>C46*E46</f>
        <v>11746500</v>
      </c>
      <c r="G46" s="490">
        <v>39038</v>
      </c>
      <c r="H46" s="489" t="s">
        <v>832</v>
      </c>
      <c r="I46" s="490">
        <v>300</v>
      </c>
      <c r="J46" s="490">
        <f>G46*I46</f>
        <v>11711400</v>
      </c>
      <c r="K46" s="490">
        <v>11711</v>
      </c>
      <c r="L46" s="490">
        <v>11711</v>
      </c>
      <c r="M46" s="490">
        <v>11711</v>
      </c>
      <c r="N46" s="490">
        <v>11711</v>
      </c>
      <c r="O46" s="490">
        <v>11711</v>
      </c>
      <c r="P46" s="646">
        <v>11711</v>
      </c>
      <c r="Q46" s="482"/>
      <c r="R46" s="482"/>
      <c r="S46" s="482"/>
      <c r="T46" s="482"/>
      <c r="U46" s="482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2"/>
      <c r="AH46" s="482"/>
      <c r="AI46" s="482"/>
      <c r="AJ46" s="482"/>
      <c r="AK46" s="482"/>
      <c r="AL46" s="482"/>
      <c r="AM46" s="482"/>
      <c r="AN46" s="482"/>
      <c r="AO46" s="482"/>
      <c r="AP46" s="482"/>
      <c r="AQ46" s="482"/>
      <c r="AR46" s="482"/>
      <c r="AS46" s="482"/>
      <c r="AT46" s="482"/>
      <c r="AU46" s="482"/>
      <c r="AV46" s="482"/>
      <c r="AW46" s="482"/>
      <c r="AX46" s="482"/>
      <c r="AY46" s="482"/>
      <c r="AZ46" s="482"/>
      <c r="BA46" s="482"/>
      <c r="BB46" s="482"/>
      <c r="BC46" s="482"/>
      <c r="BD46" s="482"/>
      <c r="BE46" s="482"/>
      <c r="BF46" s="482"/>
      <c r="BG46" s="482"/>
      <c r="BH46" s="482"/>
      <c r="BI46" s="482"/>
      <c r="BJ46" s="482"/>
      <c r="BK46" s="482"/>
      <c r="BL46" s="482"/>
      <c r="BM46" s="482"/>
      <c r="BN46" s="482"/>
      <c r="BO46" s="482"/>
      <c r="BP46" s="482"/>
      <c r="BQ46" s="482"/>
      <c r="BR46" s="482"/>
      <c r="BS46" s="482"/>
      <c r="BT46" s="482"/>
      <c r="BU46" s="482"/>
      <c r="BV46" s="482"/>
      <c r="BW46" s="482"/>
      <c r="BX46" s="482"/>
      <c r="BY46" s="482"/>
      <c r="BZ46" s="482"/>
      <c r="CA46" s="482"/>
      <c r="CB46" s="482"/>
      <c r="CC46" s="482"/>
      <c r="CD46" s="482"/>
      <c r="CE46" s="482"/>
      <c r="CF46" s="482"/>
      <c r="CG46" s="482"/>
      <c r="CH46" s="482"/>
      <c r="CI46" s="482"/>
      <c r="CJ46" s="482"/>
      <c r="CK46" s="482"/>
      <c r="CL46" s="482"/>
      <c r="CM46" s="482"/>
      <c r="CN46" s="482"/>
      <c r="CO46" s="482"/>
      <c r="CP46" s="482"/>
      <c r="CQ46" s="482"/>
      <c r="CR46" s="482"/>
      <c r="CS46" s="482"/>
      <c r="CT46" s="482"/>
      <c r="CU46" s="482"/>
      <c r="CV46" s="482"/>
      <c r="CW46" s="482"/>
      <c r="CX46" s="482"/>
      <c r="CY46" s="482"/>
      <c r="CZ46" s="482"/>
      <c r="DA46" s="482"/>
      <c r="DB46" s="482"/>
      <c r="DC46" s="482"/>
      <c r="DD46" s="482"/>
      <c r="DE46" s="482"/>
      <c r="DF46" s="482"/>
      <c r="DG46" s="482"/>
      <c r="DH46" s="482"/>
      <c r="DI46" s="482"/>
      <c r="DJ46" s="482"/>
      <c r="DK46" s="482"/>
      <c r="DL46" s="482"/>
      <c r="DM46" s="482"/>
      <c r="DN46" s="482"/>
      <c r="DO46" s="482"/>
      <c r="DP46" s="482"/>
      <c r="DQ46" s="482"/>
      <c r="DR46" s="482"/>
      <c r="DS46" s="482"/>
      <c r="DT46" s="482"/>
      <c r="DU46" s="482"/>
      <c r="DV46" s="482"/>
      <c r="DW46" s="482"/>
      <c r="DX46" s="482"/>
      <c r="DY46" s="482"/>
      <c r="DZ46" s="482"/>
      <c r="EA46" s="482"/>
      <c r="EB46" s="482"/>
      <c r="EC46" s="482"/>
      <c r="ED46" s="482"/>
      <c r="EE46" s="482"/>
      <c r="EF46" s="482"/>
      <c r="EG46" s="482"/>
      <c r="EH46" s="482"/>
      <c r="EI46" s="482"/>
      <c r="EJ46" s="482"/>
      <c r="EK46" s="482"/>
      <c r="EL46" s="482"/>
      <c r="EM46" s="482"/>
      <c r="EN46" s="482"/>
      <c r="EO46" s="482"/>
      <c r="EP46" s="482"/>
      <c r="EQ46" s="482"/>
      <c r="ER46" s="482"/>
      <c r="ES46" s="482"/>
      <c r="ET46" s="482"/>
      <c r="EU46" s="482"/>
      <c r="EV46" s="482"/>
      <c r="EW46" s="482"/>
      <c r="EX46" s="482"/>
      <c r="EY46" s="482"/>
      <c r="EZ46" s="482"/>
      <c r="FA46" s="482"/>
      <c r="FB46" s="482"/>
      <c r="FC46" s="482"/>
      <c r="FD46" s="482"/>
      <c r="FE46" s="482"/>
      <c r="FF46" s="482"/>
      <c r="FG46" s="482"/>
      <c r="FH46" s="482"/>
      <c r="FI46" s="482"/>
      <c r="FJ46" s="482"/>
      <c r="FK46" s="482"/>
      <c r="FL46" s="482"/>
      <c r="FM46" s="482"/>
      <c r="FN46" s="482"/>
      <c r="FO46" s="482"/>
      <c r="FP46" s="482"/>
      <c r="FQ46" s="482"/>
      <c r="FR46" s="482"/>
      <c r="FS46" s="482"/>
      <c r="FT46" s="482"/>
      <c r="FU46" s="482"/>
      <c r="FV46" s="482"/>
      <c r="FW46" s="482"/>
      <c r="FX46" s="482"/>
      <c r="FY46" s="482"/>
      <c r="FZ46" s="482"/>
      <c r="GA46" s="482"/>
      <c r="GB46" s="482"/>
      <c r="GC46" s="482"/>
      <c r="GD46" s="482"/>
      <c r="GE46" s="482"/>
      <c r="GF46" s="482"/>
      <c r="GG46" s="482"/>
      <c r="GH46" s="482"/>
      <c r="GI46" s="482"/>
      <c r="GJ46" s="482"/>
      <c r="GK46" s="482"/>
      <c r="GL46" s="482"/>
      <c r="GM46" s="482"/>
      <c r="GN46" s="482"/>
      <c r="GO46" s="482"/>
      <c r="GP46" s="482"/>
      <c r="GQ46" s="482"/>
      <c r="GR46" s="482"/>
      <c r="GS46" s="482"/>
      <c r="GT46" s="482"/>
      <c r="GU46" s="482"/>
      <c r="GV46" s="482"/>
      <c r="GW46" s="482"/>
      <c r="GX46" s="482"/>
      <c r="GY46" s="482"/>
      <c r="GZ46" s="482"/>
      <c r="HA46" s="482"/>
      <c r="HB46" s="482"/>
      <c r="HC46" s="482"/>
      <c r="HD46" s="482"/>
      <c r="HE46" s="482"/>
      <c r="HF46" s="482"/>
      <c r="HG46" s="482"/>
      <c r="HH46" s="482"/>
      <c r="HI46" s="482"/>
      <c r="HJ46" s="482"/>
      <c r="HK46" s="482"/>
      <c r="HL46" s="482"/>
      <c r="HM46" s="482"/>
      <c r="HN46" s="482"/>
      <c r="HO46" s="482"/>
      <c r="HP46" s="482"/>
      <c r="HQ46" s="482"/>
      <c r="HR46" s="482"/>
      <c r="HS46" s="482"/>
      <c r="HT46" s="482"/>
      <c r="HU46" s="482"/>
      <c r="HV46" s="482"/>
      <c r="HW46" s="482"/>
      <c r="HX46" s="482"/>
      <c r="HY46" s="482"/>
      <c r="HZ46" s="482"/>
      <c r="IA46" s="482"/>
      <c r="IB46" s="482"/>
      <c r="IC46" s="482"/>
      <c r="ID46" s="482"/>
      <c r="IE46" s="482"/>
      <c r="IF46" s="482"/>
      <c r="IG46" s="482"/>
      <c r="IH46" s="482"/>
      <c r="II46" s="482"/>
      <c r="IJ46" s="482"/>
      <c r="IK46" s="482"/>
      <c r="IL46" s="482"/>
      <c r="IM46" s="482"/>
      <c r="IN46" s="482"/>
      <c r="IO46" s="482"/>
      <c r="IP46" s="482"/>
      <c r="IQ46" s="482"/>
      <c r="IR46" s="482"/>
    </row>
    <row r="47" spans="1:252" ht="17.25" customHeight="1">
      <c r="A47" s="644" t="s">
        <v>904</v>
      </c>
      <c r="B47" s="658" t="s">
        <v>906</v>
      </c>
      <c r="C47" s="490">
        <v>6599</v>
      </c>
      <c r="D47" s="489" t="s">
        <v>832</v>
      </c>
      <c r="E47" s="490">
        <v>1200</v>
      </c>
      <c r="F47" s="490">
        <f>C47*E47</f>
        <v>7918800</v>
      </c>
      <c r="G47" s="490">
        <v>6564</v>
      </c>
      <c r="H47" s="489" t="s">
        <v>832</v>
      </c>
      <c r="I47" s="490">
        <v>1200</v>
      </c>
      <c r="J47" s="490">
        <f>G47*I47</f>
        <v>7876800</v>
      </c>
      <c r="K47" s="490">
        <v>7877</v>
      </c>
      <c r="L47" s="490">
        <v>7877</v>
      </c>
      <c r="M47" s="490">
        <v>7877</v>
      </c>
      <c r="N47" s="490">
        <v>7877</v>
      </c>
      <c r="O47" s="490">
        <v>7877</v>
      </c>
      <c r="P47" s="646">
        <v>7877</v>
      </c>
      <c r="Q47" s="482"/>
      <c r="R47" s="482"/>
      <c r="S47" s="482"/>
      <c r="T47" s="482"/>
      <c r="U47" s="482"/>
      <c r="V47" s="482"/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K47" s="482"/>
      <c r="AL47" s="482"/>
      <c r="AM47" s="482"/>
      <c r="AN47" s="482"/>
      <c r="AO47" s="482"/>
      <c r="AP47" s="482"/>
      <c r="AQ47" s="482"/>
      <c r="AR47" s="482"/>
      <c r="AS47" s="482"/>
      <c r="AT47" s="482"/>
      <c r="AU47" s="482"/>
      <c r="AV47" s="482"/>
      <c r="AW47" s="482"/>
      <c r="AX47" s="482"/>
      <c r="AY47" s="482"/>
      <c r="AZ47" s="482"/>
      <c r="BA47" s="482"/>
      <c r="BB47" s="482"/>
      <c r="BC47" s="482"/>
      <c r="BD47" s="482"/>
      <c r="BE47" s="482"/>
      <c r="BF47" s="482"/>
      <c r="BG47" s="482"/>
      <c r="BH47" s="482"/>
      <c r="BI47" s="482"/>
      <c r="BJ47" s="482"/>
      <c r="BK47" s="482"/>
      <c r="BL47" s="482"/>
      <c r="BM47" s="482"/>
      <c r="BN47" s="482"/>
      <c r="BO47" s="482"/>
      <c r="BP47" s="482"/>
      <c r="BQ47" s="482"/>
      <c r="BR47" s="482"/>
      <c r="BS47" s="482"/>
      <c r="BT47" s="482"/>
      <c r="BU47" s="482"/>
      <c r="BV47" s="482"/>
      <c r="BW47" s="482"/>
      <c r="BX47" s="482"/>
      <c r="BY47" s="482"/>
      <c r="BZ47" s="482"/>
      <c r="CA47" s="482"/>
      <c r="CB47" s="482"/>
      <c r="CC47" s="482"/>
      <c r="CD47" s="482"/>
      <c r="CE47" s="482"/>
      <c r="CF47" s="482"/>
      <c r="CG47" s="482"/>
      <c r="CH47" s="482"/>
      <c r="CI47" s="482"/>
      <c r="CJ47" s="482"/>
      <c r="CK47" s="482"/>
      <c r="CL47" s="482"/>
      <c r="CM47" s="482"/>
      <c r="CN47" s="482"/>
      <c r="CO47" s="482"/>
      <c r="CP47" s="482"/>
      <c r="CQ47" s="482"/>
      <c r="CR47" s="482"/>
      <c r="CS47" s="482"/>
      <c r="CT47" s="482"/>
      <c r="CU47" s="482"/>
      <c r="CV47" s="482"/>
      <c r="CW47" s="482"/>
      <c r="CX47" s="482"/>
      <c r="CY47" s="482"/>
      <c r="CZ47" s="482"/>
      <c r="DA47" s="482"/>
      <c r="DB47" s="482"/>
      <c r="DC47" s="482"/>
      <c r="DD47" s="482"/>
      <c r="DE47" s="482"/>
      <c r="DF47" s="482"/>
      <c r="DG47" s="482"/>
      <c r="DH47" s="482"/>
      <c r="DI47" s="482"/>
      <c r="DJ47" s="482"/>
      <c r="DK47" s="482"/>
      <c r="DL47" s="482"/>
      <c r="DM47" s="482"/>
      <c r="DN47" s="482"/>
      <c r="DO47" s="482"/>
      <c r="DP47" s="482"/>
      <c r="DQ47" s="482"/>
      <c r="DR47" s="482"/>
      <c r="DS47" s="482"/>
      <c r="DT47" s="482"/>
      <c r="DU47" s="482"/>
      <c r="DV47" s="482"/>
      <c r="DW47" s="482"/>
      <c r="DX47" s="482"/>
      <c r="DY47" s="482"/>
      <c r="DZ47" s="482"/>
      <c r="EA47" s="482"/>
      <c r="EB47" s="482"/>
      <c r="EC47" s="482"/>
      <c r="ED47" s="482"/>
      <c r="EE47" s="482"/>
      <c r="EF47" s="482"/>
      <c r="EG47" s="482"/>
      <c r="EH47" s="482"/>
      <c r="EI47" s="482"/>
      <c r="EJ47" s="482"/>
      <c r="EK47" s="482"/>
      <c r="EL47" s="482"/>
      <c r="EM47" s="482"/>
      <c r="EN47" s="482"/>
      <c r="EO47" s="482"/>
      <c r="EP47" s="482"/>
      <c r="EQ47" s="482"/>
      <c r="ER47" s="482"/>
      <c r="ES47" s="482"/>
      <c r="ET47" s="482"/>
      <c r="EU47" s="482"/>
      <c r="EV47" s="482"/>
      <c r="EW47" s="482"/>
      <c r="EX47" s="482"/>
      <c r="EY47" s="482"/>
      <c r="EZ47" s="482"/>
      <c r="FA47" s="482"/>
      <c r="FB47" s="482"/>
      <c r="FC47" s="482"/>
      <c r="FD47" s="482"/>
      <c r="FE47" s="482"/>
      <c r="FF47" s="482"/>
      <c r="FG47" s="482"/>
      <c r="FH47" s="482"/>
      <c r="FI47" s="482"/>
      <c r="FJ47" s="482"/>
      <c r="FK47" s="482"/>
      <c r="FL47" s="482"/>
      <c r="FM47" s="482"/>
      <c r="FN47" s="482"/>
      <c r="FO47" s="482"/>
      <c r="FP47" s="482"/>
      <c r="FQ47" s="482"/>
      <c r="FR47" s="482"/>
      <c r="FS47" s="482"/>
      <c r="FT47" s="482"/>
      <c r="FU47" s="482"/>
      <c r="FV47" s="482"/>
      <c r="FW47" s="482"/>
      <c r="FX47" s="482"/>
      <c r="FY47" s="482"/>
      <c r="FZ47" s="482"/>
      <c r="GA47" s="482"/>
      <c r="GB47" s="482"/>
      <c r="GC47" s="482"/>
      <c r="GD47" s="482"/>
      <c r="GE47" s="482"/>
      <c r="GF47" s="482"/>
      <c r="GG47" s="482"/>
      <c r="GH47" s="482"/>
      <c r="GI47" s="482"/>
      <c r="GJ47" s="482"/>
      <c r="GK47" s="482"/>
      <c r="GL47" s="482"/>
      <c r="GM47" s="482"/>
      <c r="GN47" s="482"/>
      <c r="GO47" s="482"/>
      <c r="GP47" s="482"/>
      <c r="GQ47" s="482"/>
      <c r="GR47" s="482"/>
      <c r="GS47" s="482"/>
      <c r="GT47" s="482"/>
      <c r="GU47" s="482"/>
      <c r="GV47" s="482"/>
      <c r="GW47" s="482"/>
      <c r="GX47" s="482"/>
      <c r="GY47" s="482"/>
      <c r="GZ47" s="482"/>
      <c r="HA47" s="482"/>
      <c r="HB47" s="482"/>
      <c r="HC47" s="482"/>
      <c r="HD47" s="482"/>
      <c r="HE47" s="482"/>
      <c r="HF47" s="482"/>
      <c r="HG47" s="482"/>
      <c r="HH47" s="482"/>
      <c r="HI47" s="482"/>
      <c r="HJ47" s="482"/>
      <c r="HK47" s="482"/>
      <c r="HL47" s="482"/>
      <c r="HM47" s="482"/>
      <c r="HN47" s="482"/>
      <c r="HO47" s="482"/>
      <c r="HP47" s="482"/>
      <c r="HQ47" s="482"/>
      <c r="HR47" s="482"/>
      <c r="HS47" s="482"/>
      <c r="HT47" s="482"/>
      <c r="HU47" s="482"/>
      <c r="HV47" s="482"/>
      <c r="HW47" s="482"/>
      <c r="HX47" s="482"/>
      <c r="HY47" s="482"/>
      <c r="HZ47" s="482"/>
      <c r="IA47" s="482"/>
      <c r="IB47" s="482"/>
      <c r="IC47" s="482"/>
      <c r="ID47" s="482"/>
      <c r="IE47" s="482"/>
      <c r="IF47" s="482"/>
      <c r="IG47" s="482"/>
      <c r="IH47" s="482"/>
      <c r="II47" s="482"/>
      <c r="IJ47" s="482"/>
      <c r="IK47" s="482"/>
      <c r="IL47" s="482"/>
      <c r="IM47" s="482"/>
      <c r="IN47" s="482"/>
      <c r="IO47" s="482"/>
      <c r="IP47" s="482"/>
      <c r="IQ47" s="482"/>
      <c r="IR47" s="482"/>
    </row>
    <row r="48" spans="1:252" ht="17.25" customHeight="1">
      <c r="A48" s="640" t="s">
        <v>907</v>
      </c>
      <c r="B48" s="645" t="s">
        <v>908</v>
      </c>
      <c r="C48" s="505"/>
      <c r="D48" s="489"/>
      <c r="E48" s="490"/>
      <c r="F48" s="642">
        <f>SUM(F45:F47)</f>
        <v>50597750</v>
      </c>
      <c r="G48" s="505"/>
      <c r="H48" s="489"/>
      <c r="I48" s="490"/>
      <c r="J48" s="642">
        <f aca="true" t="shared" si="3" ref="J48:P48">SUM(J45:J47)</f>
        <v>50428220</v>
      </c>
      <c r="K48" s="642">
        <f t="shared" si="3"/>
        <v>50428</v>
      </c>
      <c r="L48" s="642">
        <f t="shared" si="3"/>
        <v>50428</v>
      </c>
      <c r="M48" s="642">
        <f t="shared" si="3"/>
        <v>50428</v>
      </c>
      <c r="N48" s="642">
        <f t="shared" si="3"/>
        <v>50428</v>
      </c>
      <c r="O48" s="642">
        <f t="shared" si="3"/>
        <v>50428</v>
      </c>
      <c r="P48" s="643">
        <f t="shared" si="3"/>
        <v>50428</v>
      </c>
      <c r="Q48" s="482"/>
      <c r="R48" s="482"/>
      <c r="S48" s="482"/>
      <c r="T48" s="482"/>
      <c r="U48" s="482"/>
      <c r="V48" s="482"/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2"/>
      <c r="AK48" s="482"/>
      <c r="AL48" s="482"/>
      <c r="AM48" s="482"/>
      <c r="AN48" s="482"/>
      <c r="AO48" s="482"/>
      <c r="AP48" s="482"/>
      <c r="AQ48" s="482"/>
      <c r="AR48" s="482"/>
      <c r="AS48" s="482"/>
      <c r="AT48" s="482"/>
      <c r="AU48" s="482"/>
      <c r="AV48" s="482"/>
      <c r="AW48" s="482"/>
      <c r="AX48" s="482"/>
      <c r="AY48" s="482"/>
      <c r="AZ48" s="482"/>
      <c r="BA48" s="482"/>
      <c r="BB48" s="482"/>
      <c r="BC48" s="482"/>
      <c r="BD48" s="482"/>
      <c r="BE48" s="482"/>
      <c r="BF48" s="482"/>
      <c r="BG48" s="482"/>
      <c r="BH48" s="482"/>
      <c r="BI48" s="482"/>
      <c r="BJ48" s="482"/>
      <c r="BK48" s="482"/>
      <c r="BL48" s="482"/>
      <c r="BM48" s="482"/>
      <c r="BN48" s="482"/>
      <c r="BO48" s="482"/>
      <c r="BP48" s="482"/>
      <c r="BQ48" s="482"/>
      <c r="BR48" s="482"/>
      <c r="BS48" s="482"/>
      <c r="BT48" s="482"/>
      <c r="BU48" s="482"/>
      <c r="BV48" s="482"/>
      <c r="BW48" s="482"/>
      <c r="BX48" s="482"/>
      <c r="BY48" s="482"/>
      <c r="BZ48" s="482"/>
      <c r="CA48" s="482"/>
      <c r="CB48" s="482"/>
      <c r="CC48" s="482"/>
      <c r="CD48" s="482"/>
      <c r="CE48" s="482"/>
      <c r="CF48" s="482"/>
      <c r="CG48" s="482"/>
      <c r="CH48" s="482"/>
      <c r="CI48" s="482"/>
      <c r="CJ48" s="482"/>
      <c r="CK48" s="482"/>
      <c r="CL48" s="482"/>
      <c r="CM48" s="482"/>
      <c r="CN48" s="482"/>
      <c r="CO48" s="482"/>
      <c r="CP48" s="482"/>
      <c r="CQ48" s="482"/>
      <c r="CR48" s="482"/>
      <c r="CS48" s="482"/>
      <c r="CT48" s="482"/>
      <c r="CU48" s="482"/>
      <c r="CV48" s="482"/>
      <c r="CW48" s="482"/>
      <c r="CX48" s="482"/>
      <c r="CY48" s="482"/>
      <c r="CZ48" s="482"/>
      <c r="DA48" s="482"/>
      <c r="DB48" s="482"/>
      <c r="DC48" s="482"/>
      <c r="DD48" s="482"/>
      <c r="DE48" s="482"/>
      <c r="DF48" s="482"/>
      <c r="DG48" s="482"/>
      <c r="DH48" s="482"/>
      <c r="DI48" s="482"/>
      <c r="DJ48" s="482"/>
      <c r="DK48" s="482"/>
      <c r="DL48" s="482"/>
      <c r="DM48" s="482"/>
      <c r="DN48" s="482"/>
      <c r="DO48" s="482"/>
      <c r="DP48" s="482"/>
      <c r="DQ48" s="482"/>
      <c r="DR48" s="482"/>
      <c r="DS48" s="482"/>
      <c r="DT48" s="482"/>
      <c r="DU48" s="482"/>
      <c r="DV48" s="482"/>
      <c r="DW48" s="482"/>
      <c r="DX48" s="482"/>
      <c r="DY48" s="482"/>
      <c r="DZ48" s="482"/>
      <c r="EA48" s="482"/>
      <c r="EB48" s="482"/>
      <c r="EC48" s="482"/>
      <c r="ED48" s="482"/>
      <c r="EE48" s="482"/>
      <c r="EF48" s="482"/>
      <c r="EG48" s="482"/>
      <c r="EH48" s="482"/>
      <c r="EI48" s="482"/>
      <c r="EJ48" s="482"/>
      <c r="EK48" s="482"/>
      <c r="EL48" s="482"/>
      <c r="EM48" s="482"/>
      <c r="EN48" s="482"/>
      <c r="EO48" s="482"/>
      <c r="EP48" s="482"/>
      <c r="EQ48" s="482"/>
      <c r="ER48" s="482"/>
      <c r="ES48" s="482"/>
      <c r="ET48" s="482"/>
      <c r="EU48" s="482"/>
      <c r="EV48" s="482"/>
      <c r="EW48" s="482"/>
      <c r="EX48" s="482"/>
      <c r="EY48" s="482"/>
      <c r="EZ48" s="482"/>
      <c r="FA48" s="482"/>
      <c r="FB48" s="482"/>
      <c r="FC48" s="482"/>
      <c r="FD48" s="482"/>
      <c r="FE48" s="482"/>
      <c r="FF48" s="482"/>
      <c r="FG48" s="482"/>
      <c r="FH48" s="482"/>
      <c r="FI48" s="482"/>
      <c r="FJ48" s="482"/>
      <c r="FK48" s="482"/>
      <c r="FL48" s="482"/>
      <c r="FM48" s="482"/>
      <c r="FN48" s="482"/>
      <c r="FO48" s="482"/>
      <c r="FP48" s="482"/>
      <c r="FQ48" s="482"/>
      <c r="FR48" s="482"/>
      <c r="FS48" s="482"/>
      <c r="FT48" s="482"/>
      <c r="FU48" s="482"/>
      <c r="FV48" s="482"/>
      <c r="FW48" s="482"/>
      <c r="FX48" s="482"/>
      <c r="FY48" s="482"/>
      <c r="FZ48" s="482"/>
      <c r="GA48" s="482"/>
      <c r="GB48" s="482"/>
      <c r="GC48" s="482"/>
      <c r="GD48" s="482"/>
      <c r="GE48" s="482"/>
      <c r="GF48" s="482"/>
      <c r="GG48" s="482"/>
      <c r="GH48" s="482"/>
      <c r="GI48" s="482"/>
      <c r="GJ48" s="482"/>
      <c r="GK48" s="482"/>
      <c r="GL48" s="482"/>
      <c r="GM48" s="482"/>
      <c r="GN48" s="482"/>
      <c r="GO48" s="482"/>
      <c r="GP48" s="482"/>
      <c r="GQ48" s="482"/>
      <c r="GR48" s="482"/>
      <c r="GS48" s="482"/>
      <c r="GT48" s="482"/>
      <c r="GU48" s="482"/>
      <c r="GV48" s="482"/>
      <c r="GW48" s="482"/>
      <c r="GX48" s="482"/>
      <c r="GY48" s="482"/>
      <c r="GZ48" s="482"/>
      <c r="HA48" s="482"/>
      <c r="HB48" s="482"/>
      <c r="HC48" s="482"/>
      <c r="HD48" s="482"/>
      <c r="HE48" s="482"/>
      <c r="HF48" s="482"/>
      <c r="HG48" s="482"/>
      <c r="HH48" s="482"/>
      <c r="HI48" s="482"/>
      <c r="HJ48" s="482"/>
      <c r="HK48" s="482"/>
      <c r="HL48" s="482"/>
      <c r="HM48" s="482"/>
      <c r="HN48" s="482"/>
      <c r="HO48" s="482"/>
      <c r="HP48" s="482"/>
      <c r="HQ48" s="482"/>
      <c r="HR48" s="482"/>
      <c r="HS48" s="482"/>
      <c r="HT48" s="482"/>
      <c r="HU48" s="482"/>
      <c r="HV48" s="482"/>
      <c r="HW48" s="482"/>
      <c r="HX48" s="482"/>
      <c r="HY48" s="482"/>
      <c r="HZ48" s="482"/>
      <c r="IA48" s="482"/>
      <c r="IB48" s="482"/>
      <c r="IC48" s="482"/>
      <c r="ID48" s="482"/>
      <c r="IE48" s="482"/>
      <c r="IF48" s="482"/>
      <c r="IG48" s="482"/>
      <c r="IH48" s="482"/>
      <c r="II48" s="482"/>
      <c r="IJ48" s="482"/>
      <c r="IK48" s="482"/>
      <c r="IL48" s="482"/>
      <c r="IM48" s="482"/>
      <c r="IN48" s="482"/>
      <c r="IO48" s="482"/>
      <c r="IP48" s="482"/>
      <c r="IQ48" s="482"/>
      <c r="IR48" s="482"/>
    </row>
    <row r="49" spans="1:252" ht="17.25" customHeight="1">
      <c r="A49" s="640" t="s">
        <v>909</v>
      </c>
      <c r="B49" s="645" t="s">
        <v>910</v>
      </c>
      <c r="C49" s="498">
        <v>80</v>
      </c>
      <c r="D49" s="489" t="s">
        <v>832</v>
      </c>
      <c r="E49" s="490">
        <v>60896</v>
      </c>
      <c r="F49" s="642">
        <f>C49*E49</f>
        <v>4871680</v>
      </c>
      <c r="G49" s="498">
        <v>63</v>
      </c>
      <c r="H49" s="489" t="s">
        <v>832</v>
      </c>
      <c r="I49" s="490">
        <v>55360</v>
      </c>
      <c r="J49" s="642">
        <f>G49*I49*1.1</f>
        <v>3836448.0000000005</v>
      </c>
      <c r="K49" s="642">
        <v>3836</v>
      </c>
      <c r="L49" s="642">
        <v>3836</v>
      </c>
      <c r="M49" s="642">
        <v>3836</v>
      </c>
      <c r="N49" s="642">
        <v>3836</v>
      </c>
      <c r="O49" s="642">
        <v>3836</v>
      </c>
      <c r="P49" s="643">
        <v>3836</v>
      </c>
      <c r="Q49" s="482"/>
      <c r="R49" s="482"/>
      <c r="S49" s="482"/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2"/>
      <c r="AR49" s="482"/>
      <c r="AS49" s="482"/>
      <c r="AT49" s="482"/>
      <c r="AU49" s="482"/>
      <c r="AV49" s="482"/>
      <c r="AW49" s="482"/>
      <c r="AX49" s="482"/>
      <c r="AY49" s="482"/>
      <c r="AZ49" s="482"/>
      <c r="BA49" s="482"/>
      <c r="BB49" s="482"/>
      <c r="BC49" s="482"/>
      <c r="BD49" s="482"/>
      <c r="BE49" s="482"/>
      <c r="BF49" s="482"/>
      <c r="BG49" s="482"/>
      <c r="BH49" s="482"/>
      <c r="BI49" s="482"/>
      <c r="BJ49" s="482"/>
      <c r="BK49" s="482"/>
      <c r="BL49" s="482"/>
      <c r="BM49" s="482"/>
      <c r="BN49" s="482"/>
      <c r="BO49" s="482"/>
      <c r="BP49" s="482"/>
      <c r="BQ49" s="482"/>
      <c r="BR49" s="482"/>
      <c r="BS49" s="482"/>
      <c r="BT49" s="482"/>
      <c r="BU49" s="482"/>
      <c r="BV49" s="482"/>
      <c r="BW49" s="482"/>
      <c r="BX49" s="482"/>
      <c r="BY49" s="482"/>
      <c r="BZ49" s="482"/>
      <c r="CA49" s="482"/>
      <c r="CB49" s="482"/>
      <c r="CC49" s="482"/>
      <c r="CD49" s="482"/>
      <c r="CE49" s="482"/>
      <c r="CF49" s="482"/>
      <c r="CG49" s="482"/>
      <c r="CH49" s="482"/>
      <c r="CI49" s="482"/>
      <c r="CJ49" s="482"/>
      <c r="CK49" s="482"/>
      <c r="CL49" s="482"/>
      <c r="CM49" s="482"/>
      <c r="CN49" s="482"/>
      <c r="CO49" s="482"/>
      <c r="CP49" s="482"/>
      <c r="CQ49" s="482"/>
      <c r="CR49" s="482"/>
      <c r="CS49" s="482"/>
      <c r="CT49" s="482"/>
      <c r="CU49" s="482"/>
      <c r="CV49" s="482"/>
      <c r="CW49" s="482"/>
      <c r="CX49" s="482"/>
      <c r="CY49" s="482"/>
      <c r="CZ49" s="482"/>
      <c r="DA49" s="482"/>
      <c r="DB49" s="482"/>
      <c r="DC49" s="482"/>
      <c r="DD49" s="482"/>
      <c r="DE49" s="482"/>
      <c r="DF49" s="482"/>
      <c r="DG49" s="482"/>
      <c r="DH49" s="482"/>
      <c r="DI49" s="482"/>
      <c r="DJ49" s="482"/>
      <c r="DK49" s="482"/>
      <c r="DL49" s="482"/>
      <c r="DM49" s="482"/>
      <c r="DN49" s="482"/>
      <c r="DO49" s="482"/>
      <c r="DP49" s="482"/>
      <c r="DQ49" s="482"/>
      <c r="DR49" s="482"/>
      <c r="DS49" s="482"/>
      <c r="DT49" s="482"/>
      <c r="DU49" s="482"/>
      <c r="DV49" s="482"/>
      <c r="DW49" s="482"/>
      <c r="DX49" s="482"/>
      <c r="DY49" s="482"/>
      <c r="DZ49" s="482"/>
      <c r="EA49" s="482"/>
      <c r="EB49" s="482"/>
      <c r="EC49" s="482"/>
      <c r="ED49" s="482"/>
      <c r="EE49" s="482"/>
      <c r="EF49" s="482"/>
      <c r="EG49" s="482"/>
      <c r="EH49" s="482"/>
      <c r="EI49" s="482"/>
      <c r="EJ49" s="482"/>
      <c r="EK49" s="482"/>
      <c r="EL49" s="482"/>
      <c r="EM49" s="482"/>
      <c r="EN49" s="482"/>
      <c r="EO49" s="482"/>
      <c r="EP49" s="482"/>
      <c r="EQ49" s="482"/>
      <c r="ER49" s="482"/>
      <c r="ES49" s="482"/>
      <c r="ET49" s="482"/>
      <c r="EU49" s="482"/>
      <c r="EV49" s="482"/>
      <c r="EW49" s="482"/>
      <c r="EX49" s="482"/>
      <c r="EY49" s="482"/>
      <c r="EZ49" s="482"/>
      <c r="FA49" s="482"/>
      <c r="FB49" s="482"/>
      <c r="FC49" s="482"/>
      <c r="FD49" s="482"/>
      <c r="FE49" s="482"/>
      <c r="FF49" s="482"/>
      <c r="FG49" s="482"/>
      <c r="FH49" s="482"/>
      <c r="FI49" s="482"/>
      <c r="FJ49" s="482"/>
      <c r="FK49" s="482"/>
      <c r="FL49" s="482"/>
      <c r="FM49" s="482"/>
      <c r="FN49" s="482"/>
      <c r="FO49" s="482"/>
      <c r="FP49" s="482"/>
      <c r="FQ49" s="482"/>
      <c r="FR49" s="482"/>
      <c r="FS49" s="482"/>
      <c r="FT49" s="482"/>
      <c r="FU49" s="482"/>
      <c r="FV49" s="482"/>
      <c r="FW49" s="482"/>
      <c r="FX49" s="482"/>
      <c r="FY49" s="482"/>
      <c r="FZ49" s="482"/>
      <c r="GA49" s="482"/>
      <c r="GB49" s="482"/>
      <c r="GC49" s="482"/>
      <c r="GD49" s="482"/>
      <c r="GE49" s="482"/>
      <c r="GF49" s="482"/>
      <c r="GG49" s="482"/>
      <c r="GH49" s="482"/>
      <c r="GI49" s="482"/>
      <c r="GJ49" s="482"/>
      <c r="GK49" s="482"/>
      <c r="GL49" s="482"/>
      <c r="GM49" s="482"/>
      <c r="GN49" s="482"/>
      <c r="GO49" s="482"/>
      <c r="GP49" s="482"/>
      <c r="GQ49" s="482"/>
      <c r="GR49" s="482"/>
      <c r="GS49" s="482"/>
      <c r="GT49" s="482"/>
      <c r="GU49" s="482"/>
      <c r="GV49" s="482"/>
      <c r="GW49" s="482"/>
      <c r="GX49" s="482"/>
      <c r="GY49" s="482"/>
      <c r="GZ49" s="482"/>
      <c r="HA49" s="482"/>
      <c r="HB49" s="482"/>
      <c r="HC49" s="482"/>
      <c r="HD49" s="482"/>
      <c r="HE49" s="482"/>
      <c r="HF49" s="482"/>
      <c r="HG49" s="482"/>
      <c r="HH49" s="482"/>
      <c r="HI49" s="482"/>
      <c r="HJ49" s="482"/>
      <c r="HK49" s="482"/>
      <c r="HL49" s="482"/>
      <c r="HM49" s="482"/>
      <c r="HN49" s="482"/>
      <c r="HO49" s="482"/>
      <c r="HP49" s="482"/>
      <c r="HQ49" s="482"/>
      <c r="HR49" s="482"/>
      <c r="HS49" s="482"/>
      <c r="HT49" s="482"/>
      <c r="HU49" s="482"/>
      <c r="HV49" s="482"/>
      <c r="HW49" s="482"/>
      <c r="HX49" s="482"/>
      <c r="HY49" s="482"/>
      <c r="HZ49" s="482"/>
      <c r="IA49" s="482"/>
      <c r="IB49" s="482"/>
      <c r="IC49" s="482"/>
      <c r="ID49" s="482"/>
      <c r="IE49" s="482"/>
      <c r="IF49" s="482"/>
      <c r="IG49" s="482"/>
      <c r="IH49" s="482"/>
      <c r="II49" s="482"/>
      <c r="IJ49" s="482"/>
      <c r="IK49" s="482"/>
      <c r="IL49" s="482"/>
      <c r="IM49" s="482"/>
      <c r="IN49" s="482"/>
      <c r="IO49" s="482"/>
      <c r="IP49" s="482"/>
      <c r="IQ49" s="482"/>
      <c r="IR49" s="482"/>
    </row>
    <row r="50" spans="1:252" ht="29.25" customHeight="1">
      <c r="A50" s="640" t="s">
        <v>911</v>
      </c>
      <c r="B50" s="656" t="s">
        <v>912</v>
      </c>
      <c r="C50" s="498">
        <v>22</v>
      </c>
      <c r="D50" s="489" t="s">
        <v>832</v>
      </c>
      <c r="E50" s="490">
        <v>145000</v>
      </c>
      <c r="F50" s="642">
        <f>C50*(E50*1.3)</f>
        <v>4147000</v>
      </c>
      <c r="G50" s="498">
        <v>20</v>
      </c>
      <c r="H50" s="489" t="s">
        <v>832</v>
      </c>
      <c r="I50" s="490">
        <f>145000</f>
        <v>145000</v>
      </c>
      <c r="J50" s="642">
        <f>G50*I50*1.3</f>
        <v>3770000</v>
      </c>
      <c r="K50" s="642">
        <v>3770</v>
      </c>
      <c r="L50" s="642">
        <v>3770</v>
      </c>
      <c r="M50" s="642">
        <v>3770</v>
      </c>
      <c r="N50" s="642">
        <v>3770</v>
      </c>
      <c r="O50" s="642">
        <v>3770</v>
      </c>
      <c r="P50" s="643">
        <v>3770</v>
      </c>
      <c r="Q50" s="482"/>
      <c r="R50" s="482"/>
      <c r="S50" s="482"/>
      <c r="T50" s="482"/>
      <c r="U50" s="482"/>
      <c r="V50" s="482"/>
      <c r="W50" s="482"/>
      <c r="X50" s="482"/>
      <c r="Y50" s="482"/>
      <c r="Z50" s="482"/>
      <c r="AA50" s="482"/>
      <c r="AB50" s="482"/>
      <c r="AC50" s="482"/>
      <c r="AD50" s="482"/>
      <c r="AE50" s="482"/>
      <c r="AF50" s="482"/>
      <c r="AG50" s="482"/>
      <c r="AH50" s="482"/>
      <c r="AI50" s="482"/>
      <c r="AJ50" s="482"/>
      <c r="AK50" s="482"/>
      <c r="AL50" s="482"/>
      <c r="AM50" s="482"/>
      <c r="AN50" s="482"/>
      <c r="AO50" s="482"/>
      <c r="AP50" s="482"/>
      <c r="AQ50" s="482"/>
      <c r="AR50" s="482"/>
      <c r="AS50" s="482"/>
      <c r="AT50" s="482"/>
      <c r="AU50" s="482"/>
      <c r="AV50" s="482"/>
      <c r="AW50" s="482"/>
      <c r="AX50" s="482"/>
      <c r="AY50" s="482"/>
      <c r="AZ50" s="482"/>
      <c r="BA50" s="482"/>
      <c r="BB50" s="482"/>
      <c r="BC50" s="482"/>
      <c r="BD50" s="482"/>
      <c r="BE50" s="482"/>
      <c r="BF50" s="482"/>
      <c r="BG50" s="482"/>
      <c r="BH50" s="482"/>
      <c r="BI50" s="482"/>
      <c r="BJ50" s="482"/>
      <c r="BK50" s="482"/>
      <c r="BL50" s="482"/>
      <c r="BM50" s="482"/>
      <c r="BN50" s="482"/>
      <c r="BO50" s="482"/>
      <c r="BP50" s="482"/>
      <c r="BQ50" s="482"/>
      <c r="BR50" s="482"/>
      <c r="BS50" s="482"/>
      <c r="BT50" s="482"/>
      <c r="BU50" s="482"/>
      <c r="BV50" s="482"/>
      <c r="BW50" s="482"/>
      <c r="BX50" s="482"/>
      <c r="BY50" s="482"/>
      <c r="BZ50" s="482"/>
      <c r="CA50" s="482"/>
      <c r="CB50" s="482"/>
      <c r="CC50" s="482"/>
      <c r="CD50" s="482"/>
      <c r="CE50" s="482"/>
      <c r="CF50" s="482"/>
      <c r="CG50" s="482"/>
      <c r="CH50" s="482"/>
      <c r="CI50" s="482"/>
      <c r="CJ50" s="482"/>
      <c r="CK50" s="482"/>
      <c r="CL50" s="482"/>
      <c r="CM50" s="482"/>
      <c r="CN50" s="482"/>
      <c r="CO50" s="482"/>
      <c r="CP50" s="482"/>
      <c r="CQ50" s="482"/>
      <c r="CR50" s="482"/>
      <c r="CS50" s="482"/>
      <c r="CT50" s="482"/>
      <c r="CU50" s="482"/>
      <c r="CV50" s="482"/>
      <c r="CW50" s="482"/>
      <c r="CX50" s="482"/>
      <c r="CY50" s="482"/>
      <c r="CZ50" s="482"/>
      <c r="DA50" s="482"/>
      <c r="DB50" s="482"/>
      <c r="DC50" s="482"/>
      <c r="DD50" s="482"/>
      <c r="DE50" s="482"/>
      <c r="DF50" s="482"/>
      <c r="DG50" s="482"/>
      <c r="DH50" s="482"/>
      <c r="DI50" s="482"/>
      <c r="DJ50" s="482"/>
      <c r="DK50" s="482"/>
      <c r="DL50" s="482"/>
      <c r="DM50" s="482"/>
      <c r="DN50" s="482"/>
      <c r="DO50" s="482"/>
      <c r="DP50" s="482"/>
      <c r="DQ50" s="482"/>
      <c r="DR50" s="482"/>
      <c r="DS50" s="482"/>
      <c r="DT50" s="482"/>
      <c r="DU50" s="482"/>
      <c r="DV50" s="482"/>
      <c r="DW50" s="482"/>
      <c r="DX50" s="482"/>
      <c r="DY50" s="482"/>
      <c r="DZ50" s="482"/>
      <c r="EA50" s="482"/>
      <c r="EB50" s="482"/>
      <c r="EC50" s="482"/>
      <c r="ED50" s="482"/>
      <c r="EE50" s="482"/>
      <c r="EF50" s="482"/>
      <c r="EG50" s="482"/>
      <c r="EH50" s="482"/>
      <c r="EI50" s="482"/>
      <c r="EJ50" s="482"/>
      <c r="EK50" s="482"/>
      <c r="EL50" s="482"/>
      <c r="EM50" s="482"/>
      <c r="EN50" s="482"/>
      <c r="EO50" s="482"/>
      <c r="EP50" s="482"/>
      <c r="EQ50" s="482"/>
      <c r="ER50" s="482"/>
      <c r="ES50" s="482"/>
      <c r="ET50" s="482"/>
      <c r="EU50" s="482"/>
      <c r="EV50" s="482"/>
      <c r="EW50" s="482"/>
      <c r="EX50" s="482"/>
      <c r="EY50" s="482"/>
      <c r="EZ50" s="482"/>
      <c r="FA50" s="482"/>
      <c r="FB50" s="482"/>
      <c r="FC50" s="482"/>
      <c r="FD50" s="482"/>
      <c r="FE50" s="482"/>
      <c r="FF50" s="482"/>
      <c r="FG50" s="482"/>
      <c r="FH50" s="482"/>
      <c r="FI50" s="482"/>
      <c r="FJ50" s="482"/>
      <c r="FK50" s="482"/>
      <c r="FL50" s="482"/>
      <c r="FM50" s="482"/>
      <c r="FN50" s="482"/>
      <c r="FO50" s="482"/>
      <c r="FP50" s="482"/>
      <c r="FQ50" s="482"/>
      <c r="FR50" s="482"/>
      <c r="FS50" s="482"/>
      <c r="FT50" s="482"/>
      <c r="FU50" s="482"/>
      <c r="FV50" s="482"/>
      <c r="FW50" s="482"/>
      <c r="FX50" s="482"/>
      <c r="FY50" s="482"/>
      <c r="FZ50" s="482"/>
      <c r="GA50" s="482"/>
      <c r="GB50" s="482"/>
      <c r="GC50" s="482"/>
      <c r="GD50" s="482"/>
      <c r="GE50" s="482"/>
      <c r="GF50" s="482"/>
      <c r="GG50" s="482"/>
      <c r="GH50" s="482"/>
      <c r="GI50" s="482"/>
      <c r="GJ50" s="482"/>
      <c r="GK50" s="482"/>
      <c r="GL50" s="482"/>
      <c r="GM50" s="482"/>
      <c r="GN50" s="482"/>
      <c r="GO50" s="482"/>
      <c r="GP50" s="482"/>
      <c r="GQ50" s="482"/>
      <c r="GR50" s="482"/>
      <c r="GS50" s="482"/>
      <c r="GT50" s="482"/>
      <c r="GU50" s="482"/>
      <c r="GV50" s="482"/>
      <c r="GW50" s="482"/>
      <c r="GX50" s="482"/>
      <c r="GY50" s="482"/>
      <c r="GZ50" s="482"/>
      <c r="HA50" s="482"/>
      <c r="HB50" s="482"/>
      <c r="HC50" s="482"/>
      <c r="HD50" s="482"/>
      <c r="HE50" s="482"/>
      <c r="HF50" s="482"/>
      <c r="HG50" s="482"/>
      <c r="HH50" s="482"/>
      <c r="HI50" s="482"/>
      <c r="HJ50" s="482"/>
      <c r="HK50" s="482"/>
      <c r="HL50" s="482"/>
      <c r="HM50" s="482"/>
      <c r="HN50" s="482"/>
      <c r="HO50" s="482"/>
      <c r="HP50" s="482"/>
      <c r="HQ50" s="482"/>
      <c r="HR50" s="482"/>
      <c r="HS50" s="482"/>
      <c r="HT50" s="482"/>
      <c r="HU50" s="482"/>
      <c r="HV50" s="482"/>
      <c r="HW50" s="482"/>
      <c r="HX50" s="482"/>
      <c r="HY50" s="482"/>
      <c r="HZ50" s="482"/>
      <c r="IA50" s="482"/>
      <c r="IB50" s="482"/>
      <c r="IC50" s="482"/>
      <c r="ID50" s="482"/>
      <c r="IE50" s="482"/>
      <c r="IF50" s="482"/>
      <c r="IG50" s="482"/>
      <c r="IH50" s="482"/>
      <c r="II50" s="482"/>
      <c r="IJ50" s="482"/>
      <c r="IK50" s="482"/>
      <c r="IL50" s="482"/>
      <c r="IM50" s="482"/>
      <c r="IN50" s="482"/>
      <c r="IO50" s="482"/>
      <c r="IP50" s="482"/>
      <c r="IQ50" s="482"/>
      <c r="IR50" s="482"/>
    </row>
    <row r="51" spans="1:252" ht="15.75">
      <c r="A51" s="640" t="s">
        <v>913</v>
      </c>
      <c r="B51" s="656" t="s">
        <v>914</v>
      </c>
      <c r="C51" s="498">
        <v>65</v>
      </c>
      <c r="D51" s="489" t="s">
        <v>832</v>
      </c>
      <c r="E51" s="490">
        <v>109000</v>
      </c>
      <c r="F51" s="642">
        <f>C51*(E51*1.5)</f>
        <v>10627500</v>
      </c>
      <c r="G51" s="498">
        <v>65</v>
      </c>
      <c r="H51" s="489" t="s">
        <v>832</v>
      </c>
      <c r="I51" s="490">
        <v>109000</v>
      </c>
      <c r="J51" s="642">
        <f>G51*I51*1.5</f>
        <v>10627500</v>
      </c>
      <c r="K51" s="642">
        <v>10628</v>
      </c>
      <c r="L51" s="642">
        <v>10628</v>
      </c>
      <c r="M51" s="642">
        <v>10628</v>
      </c>
      <c r="N51" s="642">
        <v>10628</v>
      </c>
      <c r="O51" s="642">
        <v>10628</v>
      </c>
      <c r="P51" s="643">
        <v>10628</v>
      </c>
      <c r="Q51" s="482"/>
      <c r="R51" s="482"/>
      <c r="S51" s="482"/>
      <c r="T51" s="482"/>
      <c r="U51" s="482"/>
      <c r="V51" s="482"/>
      <c r="W51" s="482"/>
      <c r="X51" s="482"/>
      <c r="Y51" s="482"/>
      <c r="Z51" s="482"/>
      <c r="AA51" s="482"/>
      <c r="AB51" s="482"/>
      <c r="AC51" s="482"/>
      <c r="AD51" s="482"/>
      <c r="AE51" s="482"/>
      <c r="AF51" s="482"/>
      <c r="AG51" s="482"/>
      <c r="AH51" s="482"/>
      <c r="AI51" s="482"/>
      <c r="AJ51" s="482"/>
      <c r="AK51" s="482"/>
      <c r="AL51" s="482"/>
      <c r="AM51" s="482"/>
      <c r="AN51" s="482"/>
      <c r="AO51" s="482"/>
      <c r="AP51" s="482"/>
      <c r="AQ51" s="482"/>
      <c r="AR51" s="482"/>
      <c r="AS51" s="482"/>
      <c r="AT51" s="482"/>
      <c r="AU51" s="482"/>
      <c r="AV51" s="482"/>
      <c r="AW51" s="482"/>
      <c r="AX51" s="482"/>
      <c r="AY51" s="482"/>
      <c r="AZ51" s="482"/>
      <c r="BA51" s="482"/>
      <c r="BB51" s="482"/>
      <c r="BC51" s="482"/>
      <c r="BD51" s="482"/>
      <c r="BE51" s="482"/>
      <c r="BF51" s="482"/>
      <c r="BG51" s="482"/>
      <c r="BH51" s="482"/>
      <c r="BI51" s="482"/>
      <c r="BJ51" s="482"/>
      <c r="BK51" s="482"/>
      <c r="BL51" s="482"/>
      <c r="BM51" s="482"/>
      <c r="BN51" s="482"/>
      <c r="BO51" s="482"/>
      <c r="BP51" s="482"/>
      <c r="BQ51" s="482"/>
      <c r="BR51" s="482"/>
      <c r="BS51" s="482"/>
      <c r="BT51" s="482"/>
      <c r="BU51" s="482"/>
      <c r="BV51" s="482"/>
      <c r="BW51" s="482"/>
      <c r="BX51" s="482"/>
      <c r="BY51" s="482"/>
      <c r="BZ51" s="482"/>
      <c r="CA51" s="482"/>
      <c r="CB51" s="482"/>
      <c r="CC51" s="482"/>
      <c r="CD51" s="482"/>
      <c r="CE51" s="482"/>
      <c r="CF51" s="482"/>
      <c r="CG51" s="482"/>
      <c r="CH51" s="482"/>
      <c r="CI51" s="482"/>
      <c r="CJ51" s="482"/>
      <c r="CK51" s="482"/>
      <c r="CL51" s="482"/>
      <c r="CM51" s="482"/>
      <c r="CN51" s="482"/>
      <c r="CO51" s="482"/>
      <c r="CP51" s="482"/>
      <c r="CQ51" s="482"/>
      <c r="CR51" s="482"/>
      <c r="CS51" s="482"/>
      <c r="CT51" s="482"/>
      <c r="CU51" s="482"/>
      <c r="CV51" s="482"/>
      <c r="CW51" s="482"/>
      <c r="CX51" s="482"/>
      <c r="CY51" s="482"/>
      <c r="CZ51" s="482"/>
      <c r="DA51" s="482"/>
      <c r="DB51" s="482"/>
      <c r="DC51" s="482"/>
      <c r="DD51" s="482"/>
      <c r="DE51" s="482"/>
      <c r="DF51" s="482"/>
      <c r="DG51" s="482"/>
      <c r="DH51" s="482"/>
      <c r="DI51" s="482"/>
      <c r="DJ51" s="482"/>
      <c r="DK51" s="482"/>
      <c r="DL51" s="482"/>
      <c r="DM51" s="482"/>
      <c r="DN51" s="482"/>
      <c r="DO51" s="482"/>
      <c r="DP51" s="482"/>
      <c r="DQ51" s="482"/>
      <c r="DR51" s="482"/>
      <c r="DS51" s="482"/>
      <c r="DT51" s="482"/>
      <c r="DU51" s="482"/>
      <c r="DV51" s="482"/>
      <c r="DW51" s="482"/>
      <c r="DX51" s="482"/>
      <c r="DY51" s="482"/>
      <c r="DZ51" s="482"/>
      <c r="EA51" s="482"/>
      <c r="EB51" s="482"/>
      <c r="EC51" s="482"/>
      <c r="ED51" s="482"/>
      <c r="EE51" s="482"/>
      <c r="EF51" s="482"/>
      <c r="EG51" s="482"/>
      <c r="EH51" s="482"/>
      <c r="EI51" s="482"/>
      <c r="EJ51" s="482"/>
      <c r="EK51" s="482"/>
      <c r="EL51" s="482"/>
      <c r="EM51" s="482"/>
      <c r="EN51" s="482"/>
      <c r="EO51" s="482"/>
      <c r="EP51" s="482"/>
      <c r="EQ51" s="482"/>
      <c r="ER51" s="482"/>
      <c r="ES51" s="482"/>
      <c r="ET51" s="482"/>
      <c r="EU51" s="482"/>
      <c r="EV51" s="482"/>
      <c r="EW51" s="482"/>
      <c r="EX51" s="482"/>
      <c r="EY51" s="482"/>
      <c r="EZ51" s="482"/>
      <c r="FA51" s="482"/>
      <c r="FB51" s="482"/>
      <c r="FC51" s="482"/>
      <c r="FD51" s="482"/>
      <c r="FE51" s="482"/>
      <c r="FF51" s="482"/>
      <c r="FG51" s="482"/>
      <c r="FH51" s="482"/>
      <c r="FI51" s="482"/>
      <c r="FJ51" s="482"/>
      <c r="FK51" s="482"/>
      <c r="FL51" s="482"/>
      <c r="FM51" s="482"/>
      <c r="FN51" s="482"/>
      <c r="FO51" s="482"/>
      <c r="FP51" s="482"/>
      <c r="FQ51" s="482"/>
      <c r="FR51" s="482"/>
      <c r="FS51" s="482"/>
      <c r="FT51" s="482"/>
      <c r="FU51" s="482"/>
      <c r="FV51" s="482"/>
      <c r="FW51" s="482"/>
      <c r="FX51" s="482"/>
      <c r="FY51" s="482"/>
      <c r="FZ51" s="482"/>
      <c r="GA51" s="482"/>
      <c r="GB51" s="482"/>
      <c r="GC51" s="482"/>
      <c r="GD51" s="482"/>
      <c r="GE51" s="482"/>
      <c r="GF51" s="482"/>
      <c r="GG51" s="482"/>
      <c r="GH51" s="482"/>
      <c r="GI51" s="482"/>
      <c r="GJ51" s="482"/>
      <c r="GK51" s="482"/>
      <c r="GL51" s="482"/>
      <c r="GM51" s="482"/>
      <c r="GN51" s="482"/>
      <c r="GO51" s="482"/>
      <c r="GP51" s="482"/>
      <c r="GQ51" s="482"/>
      <c r="GR51" s="482"/>
      <c r="GS51" s="482"/>
      <c r="GT51" s="482"/>
      <c r="GU51" s="482"/>
      <c r="GV51" s="482"/>
      <c r="GW51" s="482"/>
      <c r="GX51" s="482"/>
      <c r="GY51" s="482"/>
      <c r="GZ51" s="482"/>
      <c r="HA51" s="482"/>
      <c r="HB51" s="482"/>
      <c r="HC51" s="482"/>
      <c r="HD51" s="482"/>
      <c r="HE51" s="482"/>
      <c r="HF51" s="482"/>
      <c r="HG51" s="482"/>
      <c r="HH51" s="482"/>
      <c r="HI51" s="482"/>
      <c r="HJ51" s="482"/>
      <c r="HK51" s="482"/>
      <c r="HL51" s="482"/>
      <c r="HM51" s="482"/>
      <c r="HN51" s="482"/>
      <c r="HO51" s="482"/>
      <c r="HP51" s="482"/>
      <c r="HQ51" s="482"/>
      <c r="HR51" s="482"/>
      <c r="HS51" s="482"/>
      <c r="HT51" s="482"/>
      <c r="HU51" s="482"/>
      <c r="HV51" s="482"/>
      <c r="HW51" s="482"/>
      <c r="HX51" s="482"/>
      <c r="HY51" s="482"/>
      <c r="HZ51" s="482"/>
      <c r="IA51" s="482"/>
      <c r="IB51" s="482"/>
      <c r="IC51" s="482"/>
      <c r="ID51" s="482"/>
      <c r="IE51" s="482"/>
      <c r="IF51" s="482"/>
      <c r="IG51" s="482"/>
      <c r="IH51" s="482"/>
      <c r="II51" s="482"/>
      <c r="IJ51" s="482"/>
      <c r="IK51" s="482"/>
      <c r="IL51" s="482"/>
      <c r="IM51" s="482"/>
      <c r="IN51" s="482"/>
      <c r="IO51" s="482"/>
      <c r="IP51" s="482"/>
      <c r="IQ51" s="482"/>
      <c r="IR51" s="482"/>
    </row>
    <row r="52" spans="1:252" ht="31.5">
      <c r="A52" s="640" t="s">
        <v>915</v>
      </c>
      <c r="B52" s="656" t="s">
        <v>916</v>
      </c>
      <c r="C52" s="498">
        <v>25</v>
      </c>
      <c r="D52" s="489" t="s">
        <v>832</v>
      </c>
      <c r="E52" s="490">
        <v>500000</v>
      </c>
      <c r="F52" s="642">
        <f>C52*(E52*1.1)</f>
        <v>13750000</v>
      </c>
      <c r="G52" s="498">
        <v>25</v>
      </c>
      <c r="H52" s="489" t="s">
        <v>832</v>
      </c>
      <c r="I52" s="490">
        <v>500000</v>
      </c>
      <c r="J52" s="642">
        <f>G52*I52*1.1</f>
        <v>13750000.000000002</v>
      </c>
      <c r="K52" s="642">
        <v>13750</v>
      </c>
      <c r="L52" s="642">
        <v>13750</v>
      </c>
      <c r="M52" s="642">
        <v>13750</v>
      </c>
      <c r="N52" s="642">
        <v>13750</v>
      </c>
      <c r="O52" s="642">
        <v>14850</v>
      </c>
      <c r="P52" s="643">
        <v>14850</v>
      </c>
      <c r="Q52" s="482"/>
      <c r="R52" s="482"/>
      <c r="S52" s="482"/>
      <c r="T52" s="482"/>
      <c r="U52" s="482"/>
      <c r="V52" s="482"/>
      <c r="W52" s="482"/>
      <c r="X52" s="482"/>
      <c r="Y52" s="482"/>
      <c r="Z52" s="482"/>
      <c r="AA52" s="482"/>
      <c r="AB52" s="482"/>
      <c r="AC52" s="482"/>
      <c r="AD52" s="482"/>
      <c r="AE52" s="482"/>
      <c r="AF52" s="482"/>
      <c r="AG52" s="482"/>
      <c r="AH52" s="482"/>
      <c r="AI52" s="482"/>
      <c r="AJ52" s="482"/>
      <c r="AK52" s="482"/>
      <c r="AL52" s="482"/>
      <c r="AM52" s="482"/>
      <c r="AN52" s="482"/>
      <c r="AO52" s="482"/>
      <c r="AP52" s="482"/>
      <c r="AQ52" s="482"/>
      <c r="AR52" s="482"/>
      <c r="AS52" s="482"/>
      <c r="AT52" s="482"/>
      <c r="AU52" s="482"/>
      <c r="AV52" s="482"/>
      <c r="AW52" s="482"/>
      <c r="AX52" s="482"/>
      <c r="AY52" s="482"/>
      <c r="AZ52" s="482"/>
      <c r="BA52" s="482"/>
      <c r="BB52" s="482"/>
      <c r="BC52" s="482"/>
      <c r="BD52" s="482"/>
      <c r="BE52" s="482"/>
      <c r="BF52" s="482"/>
      <c r="BG52" s="482"/>
      <c r="BH52" s="482"/>
      <c r="BI52" s="482"/>
      <c r="BJ52" s="482"/>
      <c r="BK52" s="482"/>
      <c r="BL52" s="482"/>
      <c r="BM52" s="482"/>
      <c r="BN52" s="482"/>
      <c r="BO52" s="482"/>
      <c r="BP52" s="482"/>
      <c r="BQ52" s="482"/>
      <c r="BR52" s="482"/>
      <c r="BS52" s="482"/>
      <c r="BT52" s="482"/>
      <c r="BU52" s="482"/>
      <c r="BV52" s="482"/>
      <c r="BW52" s="482"/>
      <c r="BX52" s="482"/>
      <c r="BY52" s="482"/>
      <c r="BZ52" s="482"/>
      <c r="CA52" s="482"/>
      <c r="CB52" s="482"/>
      <c r="CC52" s="482"/>
      <c r="CD52" s="482"/>
      <c r="CE52" s="482"/>
      <c r="CF52" s="482"/>
      <c r="CG52" s="482"/>
      <c r="CH52" s="482"/>
      <c r="CI52" s="482"/>
      <c r="CJ52" s="482"/>
      <c r="CK52" s="482"/>
      <c r="CL52" s="482"/>
      <c r="CM52" s="482"/>
      <c r="CN52" s="482"/>
      <c r="CO52" s="482"/>
      <c r="CP52" s="482"/>
      <c r="CQ52" s="482"/>
      <c r="CR52" s="482"/>
      <c r="CS52" s="482"/>
      <c r="CT52" s="482"/>
      <c r="CU52" s="482"/>
      <c r="CV52" s="482"/>
      <c r="CW52" s="482"/>
      <c r="CX52" s="482"/>
      <c r="CY52" s="482"/>
      <c r="CZ52" s="482"/>
      <c r="DA52" s="482"/>
      <c r="DB52" s="482"/>
      <c r="DC52" s="482"/>
      <c r="DD52" s="482"/>
      <c r="DE52" s="482"/>
      <c r="DF52" s="482"/>
      <c r="DG52" s="482"/>
      <c r="DH52" s="482"/>
      <c r="DI52" s="482"/>
      <c r="DJ52" s="482"/>
      <c r="DK52" s="482"/>
      <c r="DL52" s="482"/>
      <c r="DM52" s="482"/>
      <c r="DN52" s="482"/>
      <c r="DO52" s="482"/>
      <c r="DP52" s="482"/>
      <c r="DQ52" s="482"/>
      <c r="DR52" s="482"/>
      <c r="DS52" s="482"/>
      <c r="DT52" s="482"/>
      <c r="DU52" s="482"/>
      <c r="DV52" s="482"/>
      <c r="DW52" s="482"/>
      <c r="DX52" s="482"/>
      <c r="DY52" s="482"/>
      <c r="DZ52" s="482"/>
      <c r="EA52" s="482"/>
      <c r="EB52" s="482"/>
      <c r="EC52" s="482"/>
      <c r="ED52" s="482"/>
      <c r="EE52" s="482"/>
      <c r="EF52" s="482"/>
      <c r="EG52" s="482"/>
      <c r="EH52" s="482"/>
      <c r="EI52" s="482"/>
      <c r="EJ52" s="482"/>
      <c r="EK52" s="482"/>
      <c r="EL52" s="482"/>
      <c r="EM52" s="482"/>
      <c r="EN52" s="482"/>
      <c r="EO52" s="482"/>
      <c r="EP52" s="482"/>
      <c r="EQ52" s="482"/>
      <c r="ER52" s="482"/>
      <c r="ES52" s="482"/>
      <c r="ET52" s="482"/>
      <c r="EU52" s="482"/>
      <c r="EV52" s="482"/>
      <c r="EW52" s="482"/>
      <c r="EX52" s="482"/>
      <c r="EY52" s="482"/>
      <c r="EZ52" s="482"/>
      <c r="FA52" s="482"/>
      <c r="FB52" s="482"/>
      <c r="FC52" s="482"/>
      <c r="FD52" s="482"/>
      <c r="FE52" s="482"/>
      <c r="FF52" s="482"/>
      <c r="FG52" s="482"/>
      <c r="FH52" s="482"/>
      <c r="FI52" s="482"/>
      <c r="FJ52" s="482"/>
      <c r="FK52" s="482"/>
      <c r="FL52" s="482"/>
      <c r="FM52" s="482"/>
      <c r="FN52" s="482"/>
      <c r="FO52" s="482"/>
      <c r="FP52" s="482"/>
      <c r="FQ52" s="482"/>
      <c r="FR52" s="482"/>
      <c r="FS52" s="482"/>
      <c r="FT52" s="482"/>
      <c r="FU52" s="482"/>
      <c r="FV52" s="482"/>
      <c r="FW52" s="482"/>
      <c r="FX52" s="482"/>
      <c r="FY52" s="482"/>
      <c r="FZ52" s="482"/>
      <c r="GA52" s="482"/>
      <c r="GB52" s="482"/>
      <c r="GC52" s="482"/>
      <c r="GD52" s="482"/>
      <c r="GE52" s="482"/>
      <c r="GF52" s="482"/>
      <c r="GG52" s="482"/>
      <c r="GH52" s="482"/>
      <c r="GI52" s="482"/>
      <c r="GJ52" s="482"/>
      <c r="GK52" s="482"/>
      <c r="GL52" s="482"/>
      <c r="GM52" s="482"/>
      <c r="GN52" s="482"/>
      <c r="GO52" s="482"/>
      <c r="GP52" s="482"/>
      <c r="GQ52" s="482"/>
      <c r="GR52" s="482"/>
      <c r="GS52" s="482"/>
      <c r="GT52" s="482"/>
      <c r="GU52" s="482"/>
      <c r="GV52" s="482"/>
      <c r="GW52" s="482"/>
      <c r="GX52" s="482"/>
      <c r="GY52" s="482"/>
      <c r="GZ52" s="482"/>
      <c r="HA52" s="482"/>
      <c r="HB52" s="482"/>
      <c r="HC52" s="482"/>
      <c r="HD52" s="482"/>
      <c r="HE52" s="482"/>
      <c r="HF52" s="482"/>
      <c r="HG52" s="482"/>
      <c r="HH52" s="482"/>
      <c r="HI52" s="482"/>
      <c r="HJ52" s="482"/>
      <c r="HK52" s="482"/>
      <c r="HL52" s="482"/>
      <c r="HM52" s="482"/>
      <c r="HN52" s="482"/>
      <c r="HO52" s="482"/>
      <c r="HP52" s="482"/>
      <c r="HQ52" s="482"/>
      <c r="HR52" s="482"/>
      <c r="HS52" s="482"/>
      <c r="HT52" s="482"/>
      <c r="HU52" s="482"/>
      <c r="HV52" s="482"/>
      <c r="HW52" s="482"/>
      <c r="HX52" s="482"/>
      <c r="HY52" s="482"/>
      <c r="HZ52" s="482"/>
      <c r="IA52" s="482"/>
      <c r="IB52" s="482"/>
      <c r="IC52" s="482"/>
      <c r="ID52" s="482"/>
      <c r="IE52" s="482"/>
      <c r="IF52" s="482"/>
      <c r="IG52" s="482"/>
      <c r="IH52" s="482"/>
      <c r="II52" s="482"/>
      <c r="IJ52" s="482"/>
      <c r="IK52" s="482"/>
      <c r="IL52" s="482"/>
      <c r="IM52" s="482"/>
      <c r="IN52" s="482"/>
      <c r="IO52" s="482"/>
      <c r="IP52" s="482"/>
      <c r="IQ52" s="482"/>
      <c r="IR52" s="482"/>
    </row>
    <row r="53" spans="1:252" ht="15.75">
      <c r="A53" s="640" t="s">
        <v>917</v>
      </c>
      <c r="B53" s="656" t="s">
        <v>918</v>
      </c>
      <c r="C53" s="498">
        <v>33</v>
      </c>
      <c r="D53" s="489" t="s">
        <v>832</v>
      </c>
      <c r="E53" s="490">
        <v>206100</v>
      </c>
      <c r="F53" s="642">
        <f>C53*(E53*1.2)</f>
        <v>8161560</v>
      </c>
      <c r="G53" s="498">
        <v>33</v>
      </c>
      <c r="H53" s="489" t="s">
        <v>832</v>
      </c>
      <c r="I53" s="490">
        <v>206100</v>
      </c>
      <c r="J53" s="642">
        <f>G53*I53*1.2</f>
        <v>8161560</v>
      </c>
      <c r="K53" s="642">
        <v>8162</v>
      </c>
      <c r="L53" s="642">
        <v>8162</v>
      </c>
      <c r="M53" s="642">
        <v>8162</v>
      </c>
      <c r="N53" s="642">
        <v>8162</v>
      </c>
      <c r="O53" s="642">
        <v>8162</v>
      </c>
      <c r="P53" s="643">
        <v>6162</v>
      </c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2"/>
      <c r="AL53" s="482"/>
      <c r="AM53" s="482"/>
      <c r="AN53" s="482"/>
      <c r="AO53" s="482"/>
      <c r="AP53" s="482"/>
      <c r="AQ53" s="482"/>
      <c r="AR53" s="482"/>
      <c r="AS53" s="482"/>
      <c r="AT53" s="482"/>
      <c r="AU53" s="482"/>
      <c r="AV53" s="482"/>
      <c r="AW53" s="482"/>
      <c r="AX53" s="482"/>
      <c r="AY53" s="482"/>
      <c r="AZ53" s="482"/>
      <c r="BA53" s="482"/>
      <c r="BB53" s="482"/>
      <c r="BC53" s="482"/>
      <c r="BD53" s="482"/>
      <c r="BE53" s="482"/>
      <c r="BF53" s="482"/>
      <c r="BG53" s="482"/>
      <c r="BH53" s="482"/>
      <c r="BI53" s="482"/>
      <c r="BJ53" s="482"/>
      <c r="BK53" s="482"/>
      <c r="BL53" s="482"/>
      <c r="BM53" s="482"/>
      <c r="BN53" s="482"/>
      <c r="BO53" s="482"/>
      <c r="BP53" s="482"/>
      <c r="BQ53" s="482"/>
      <c r="BR53" s="482"/>
      <c r="BS53" s="482"/>
      <c r="BT53" s="482"/>
      <c r="BU53" s="482"/>
      <c r="BV53" s="482"/>
      <c r="BW53" s="482"/>
      <c r="BX53" s="482"/>
      <c r="BY53" s="482"/>
      <c r="BZ53" s="482"/>
      <c r="CA53" s="482"/>
      <c r="CB53" s="482"/>
      <c r="CC53" s="482"/>
      <c r="CD53" s="482"/>
      <c r="CE53" s="482"/>
      <c r="CF53" s="482"/>
      <c r="CG53" s="482"/>
      <c r="CH53" s="482"/>
      <c r="CI53" s="482"/>
      <c r="CJ53" s="482"/>
      <c r="CK53" s="482"/>
      <c r="CL53" s="482"/>
      <c r="CM53" s="482"/>
      <c r="CN53" s="482"/>
      <c r="CO53" s="482"/>
      <c r="CP53" s="482"/>
      <c r="CQ53" s="482"/>
      <c r="CR53" s="482"/>
      <c r="CS53" s="482"/>
      <c r="CT53" s="482"/>
      <c r="CU53" s="482"/>
      <c r="CV53" s="482"/>
      <c r="CW53" s="482"/>
      <c r="CX53" s="482"/>
      <c r="CY53" s="482"/>
      <c r="CZ53" s="482"/>
      <c r="DA53" s="482"/>
      <c r="DB53" s="482"/>
      <c r="DC53" s="482"/>
      <c r="DD53" s="482"/>
      <c r="DE53" s="482"/>
      <c r="DF53" s="482"/>
      <c r="DG53" s="482"/>
      <c r="DH53" s="482"/>
      <c r="DI53" s="482"/>
      <c r="DJ53" s="482"/>
      <c r="DK53" s="482"/>
      <c r="DL53" s="482"/>
      <c r="DM53" s="482"/>
      <c r="DN53" s="482"/>
      <c r="DO53" s="482"/>
      <c r="DP53" s="482"/>
      <c r="DQ53" s="482"/>
      <c r="DR53" s="482"/>
      <c r="DS53" s="482"/>
      <c r="DT53" s="482"/>
      <c r="DU53" s="482"/>
      <c r="DV53" s="482"/>
      <c r="DW53" s="482"/>
      <c r="DX53" s="482"/>
      <c r="DY53" s="482"/>
      <c r="DZ53" s="482"/>
      <c r="EA53" s="482"/>
      <c r="EB53" s="482"/>
      <c r="EC53" s="482"/>
      <c r="ED53" s="482"/>
      <c r="EE53" s="482"/>
      <c r="EF53" s="482"/>
      <c r="EG53" s="482"/>
      <c r="EH53" s="482"/>
      <c r="EI53" s="482"/>
      <c r="EJ53" s="482"/>
      <c r="EK53" s="482"/>
      <c r="EL53" s="482"/>
      <c r="EM53" s="482"/>
      <c r="EN53" s="482"/>
      <c r="EO53" s="482"/>
      <c r="EP53" s="482"/>
      <c r="EQ53" s="482"/>
      <c r="ER53" s="482"/>
      <c r="ES53" s="482"/>
      <c r="ET53" s="482"/>
      <c r="EU53" s="482"/>
      <c r="EV53" s="482"/>
      <c r="EW53" s="482"/>
      <c r="EX53" s="482"/>
      <c r="EY53" s="482"/>
      <c r="EZ53" s="482"/>
      <c r="FA53" s="482"/>
      <c r="FB53" s="482"/>
      <c r="FC53" s="482"/>
      <c r="FD53" s="482"/>
      <c r="FE53" s="482"/>
      <c r="FF53" s="482"/>
      <c r="FG53" s="482"/>
      <c r="FH53" s="482"/>
      <c r="FI53" s="482"/>
      <c r="FJ53" s="482"/>
      <c r="FK53" s="482"/>
      <c r="FL53" s="482"/>
      <c r="FM53" s="482"/>
      <c r="FN53" s="482"/>
      <c r="FO53" s="482"/>
      <c r="FP53" s="482"/>
      <c r="FQ53" s="482"/>
      <c r="FR53" s="482"/>
      <c r="FS53" s="482"/>
      <c r="FT53" s="482"/>
      <c r="FU53" s="482"/>
      <c r="FV53" s="482"/>
      <c r="FW53" s="482"/>
      <c r="FX53" s="482"/>
      <c r="FY53" s="482"/>
      <c r="FZ53" s="482"/>
      <c r="GA53" s="482"/>
      <c r="GB53" s="482"/>
      <c r="GC53" s="482"/>
      <c r="GD53" s="482"/>
      <c r="GE53" s="482"/>
      <c r="GF53" s="482"/>
      <c r="GG53" s="482"/>
      <c r="GH53" s="482"/>
      <c r="GI53" s="482"/>
      <c r="GJ53" s="482"/>
      <c r="GK53" s="482"/>
      <c r="GL53" s="482"/>
      <c r="GM53" s="482"/>
      <c r="GN53" s="482"/>
      <c r="GO53" s="482"/>
      <c r="GP53" s="482"/>
      <c r="GQ53" s="482"/>
      <c r="GR53" s="482"/>
      <c r="GS53" s="482"/>
      <c r="GT53" s="482"/>
      <c r="GU53" s="482"/>
      <c r="GV53" s="482"/>
      <c r="GW53" s="482"/>
      <c r="GX53" s="482"/>
      <c r="GY53" s="482"/>
      <c r="GZ53" s="482"/>
      <c r="HA53" s="482"/>
      <c r="HB53" s="482"/>
      <c r="HC53" s="482"/>
      <c r="HD53" s="482"/>
      <c r="HE53" s="482"/>
      <c r="HF53" s="482"/>
      <c r="HG53" s="482"/>
      <c r="HH53" s="482"/>
      <c r="HI53" s="482"/>
      <c r="HJ53" s="482"/>
      <c r="HK53" s="482"/>
      <c r="HL53" s="482"/>
      <c r="HM53" s="482"/>
      <c r="HN53" s="482"/>
      <c r="HO53" s="482"/>
      <c r="HP53" s="482"/>
      <c r="HQ53" s="482"/>
      <c r="HR53" s="482"/>
      <c r="HS53" s="482"/>
      <c r="HT53" s="482"/>
      <c r="HU53" s="482"/>
      <c r="HV53" s="482"/>
      <c r="HW53" s="482"/>
      <c r="HX53" s="482"/>
      <c r="HY53" s="482"/>
      <c r="HZ53" s="482"/>
      <c r="IA53" s="482"/>
      <c r="IB53" s="482"/>
      <c r="IC53" s="482"/>
      <c r="ID53" s="482"/>
      <c r="IE53" s="482"/>
      <c r="IF53" s="482"/>
      <c r="IG53" s="482"/>
      <c r="IH53" s="482"/>
      <c r="II53" s="482"/>
      <c r="IJ53" s="482"/>
      <c r="IK53" s="482"/>
      <c r="IL53" s="482"/>
      <c r="IM53" s="482"/>
      <c r="IN53" s="482"/>
      <c r="IO53" s="482"/>
      <c r="IP53" s="482"/>
      <c r="IQ53" s="482"/>
      <c r="IR53" s="482"/>
    </row>
    <row r="54" spans="1:252" ht="15.75">
      <c r="A54" s="652" t="s">
        <v>919</v>
      </c>
      <c r="B54" s="658" t="s">
        <v>920</v>
      </c>
      <c r="C54" s="498"/>
      <c r="D54" s="489"/>
      <c r="E54" s="490"/>
      <c r="F54" s="654"/>
      <c r="G54" s="498"/>
      <c r="H54" s="489"/>
      <c r="I54" s="490"/>
      <c r="J54" s="654"/>
      <c r="K54" s="654"/>
      <c r="L54" s="654"/>
      <c r="M54" s="654"/>
      <c r="N54" s="654"/>
      <c r="O54" s="654"/>
      <c r="P54" s="655"/>
      <c r="Q54" s="482"/>
      <c r="R54" s="482"/>
      <c r="S54" s="482"/>
      <c r="T54" s="482"/>
      <c r="U54" s="482"/>
      <c r="V54" s="482"/>
      <c r="W54" s="482"/>
      <c r="X54" s="482"/>
      <c r="Y54" s="482"/>
      <c r="Z54" s="482"/>
      <c r="AA54" s="482"/>
      <c r="AB54" s="482"/>
      <c r="AC54" s="482"/>
      <c r="AD54" s="482"/>
      <c r="AE54" s="482"/>
      <c r="AF54" s="482"/>
      <c r="AG54" s="482"/>
      <c r="AH54" s="482"/>
      <c r="AI54" s="482"/>
      <c r="AJ54" s="482"/>
      <c r="AK54" s="482"/>
      <c r="AL54" s="482"/>
      <c r="AM54" s="482"/>
      <c r="AN54" s="482"/>
      <c r="AO54" s="482"/>
      <c r="AP54" s="482"/>
      <c r="AQ54" s="482"/>
      <c r="AR54" s="482"/>
      <c r="AS54" s="482"/>
      <c r="AT54" s="482"/>
      <c r="AU54" s="482"/>
      <c r="AV54" s="482"/>
      <c r="AW54" s="482"/>
      <c r="AX54" s="482"/>
      <c r="AY54" s="482"/>
      <c r="AZ54" s="482"/>
      <c r="BA54" s="482"/>
      <c r="BB54" s="482"/>
      <c r="BC54" s="482"/>
      <c r="BD54" s="482"/>
      <c r="BE54" s="482"/>
      <c r="BF54" s="482"/>
      <c r="BG54" s="482"/>
      <c r="BH54" s="482"/>
      <c r="BI54" s="482"/>
      <c r="BJ54" s="482"/>
      <c r="BK54" s="482"/>
      <c r="BL54" s="482"/>
      <c r="BM54" s="482"/>
      <c r="BN54" s="482"/>
      <c r="BO54" s="482"/>
      <c r="BP54" s="482"/>
      <c r="BQ54" s="482"/>
      <c r="BR54" s="482"/>
      <c r="BS54" s="482"/>
      <c r="BT54" s="482"/>
      <c r="BU54" s="482"/>
      <c r="BV54" s="482"/>
      <c r="BW54" s="482"/>
      <c r="BX54" s="482"/>
      <c r="BY54" s="482"/>
      <c r="BZ54" s="482"/>
      <c r="CA54" s="482"/>
      <c r="CB54" s="482"/>
      <c r="CC54" s="482"/>
      <c r="CD54" s="482"/>
      <c r="CE54" s="482"/>
      <c r="CF54" s="482"/>
      <c r="CG54" s="482"/>
      <c r="CH54" s="482"/>
      <c r="CI54" s="482"/>
      <c r="CJ54" s="482"/>
      <c r="CK54" s="482"/>
      <c r="CL54" s="482"/>
      <c r="CM54" s="482"/>
      <c r="CN54" s="482"/>
      <c r="CO54" s="482"/>
      <c r="CP54" s="482"/>
      <c r="CQ54" s="482"/>
      <c r="CR54" s="482"/>
      <c r="CS54" s="482"/>
      <c r="CT54" s="482"/>
      <c r="CU54" s="482"/>
      <c r="CV54" s="482"/>
      <c r="CW54" s="482"/>
      <c r="CX54" s="482"/>
      <c r="CY54" s="482"/>
      <c r="CZ54" s="482"/>
      <c r="DA54" s="482"/>
      <c r="DB54" s="482"/>
      <c r="DC54" s="482"/>
      <c r="DD54" s="482"/>
      <c r="DE54" s="482"/>
      <c r="DF54" s="482"/>
      <c r="DG54" s="482"/>
      <c r="DH54" s="482"/>
      <c r="DI54" s="482"/>
      <c r="DJ54" s="482"/>
      <c r="DK54" s="482"/>
      <c r="DL54" s="482"/>
      <c r="DM54" s="482"/>
      <c r="DN54" s="482"/>
      <c r="DO54" s="482"/>
      <c r="DP54" s="482"/>
      <c r="DQ54" s="482"/>
      <c r="DR54" s="482"/>
      <c r="DS54" s="482"/>
      <c r="DT54" s="482"/>
      <c r="DU54" s="482"/>
      <c r="DV54" s="482"/>
      <c r="DW54" s="482"/>
      <c r="DX54" s="482"/>
      <c r="DY54" s="482"/>
      <c r="DZ54" s="482"/>
      <c r="EA54" s="482"/>
      <c r="EB54" s="482"/>
      <c r="EC54" s="482"/>
      <c r="ED54" s="482"/>
      <c r="EE54" s="482"/>
      <c r="EF54" s="482"/>
      <c r="EG54" s="482"/>
      <c r="EH54" s="482"/>
      <c r="EI54" s="482"/>
      <c r="EJ54" s="482"/>
      <c r="EK54" s="482"/>
      <c r="EL54" s="482"/>
      <c r="EM54" s="482"/>
      <c r="EN54" s="482"/>
      <c r="EO54" s="482"/>
      <c r="EP54" s="482"/>
      <c r="EQ54" s="482"/>
      <c r="ER54" s="482"/>
      <c r="ES54" s="482"/>
      <c r="ET54" s="482"/>
      <c r="EU54" s="482"/>
      <c r="EV54" s="482"/>
      <c r="EW54" s="482"/>
      <c r="EX54" s="482"/>
      <c r="EY54" s="482"/>
      <c r="EZ54" s="482"/>
      <c r="FA54" s="482"/>
      <c r="FB54" s="482"/>
      <c r="FC54" s="482"/>
      <c r="FD54" s="482"/>
      <c r="FE54" s="482"/>
      <c r="FF54" s="482"/>
      <c r="FG54" s="482"/>
      <c r="FH54" s="482"/>
      <c r="FI54" s="482"/>
      <c r="FJ54" s="482"/>
      <c r="FK54" s="482"/>
      <c r="FL54" s="482"/>
      <c r="FM54" s="482"/>
      <c r="FN54" s="482"/>
      <c r="FO54" s="482"/>
      <c r="FP54" s="482"/>
      <c r="FQ54" s="482"/>
      <c r="FR54" s="482"/>
      <c r="FS54" s="482"/>
      <c r="FT54" s="482"/>
      <c r="FU54" s="482"/>
      <c r="FV54" s="482"/>
      <c r="FW54" s="482"/>
      <c r="FX54" s="482"/>
      <c r="FY54" s="482"/>
      <c r="FZ54" s="482"/>
      <c r="GA54" s="482"/>
      <c r="GB54" s="482"/>
      <c r="GC54" s="482"/>
      <c r="GD54" s="482"/>
      <c r="GE54" s="482"/>
      <c r="GF54" s="482"/>
      <c r="GG54" s="482"/>
      <c r="GH54" s="482"/>
      <c r="GI54" s="482"/>
      <c r="GJ54" s="482"/>
      <c r="GK54" s="482"/>
      <c r="GL54" s="482"/>
      <c r="GM54" s="482"/>
      <c r="GN54" s="482"/>
      <c r="GO54" s="482"/>
      <c r="GP54" s="482"/>
      <c r="GQ54" s="482"/>
      <c r="GR54" s="482"/>
      <c r="GS54" s="482"/>
      <c r="GT54" s="482"/>
      <c r="GU54" s="482"/>
      <c r="GV54" s="482"/>
      <c r="GW54" s="482"/>
      <c r="GX54" s="482"/>
      <c r="GY54" s="482"/>
      <c r="GZ54" s="482"/>
      <c r="HA54" s="482"/>
      <c r="HB54" s="482"/>
      <c r="HC54" s="482"/>
      <c r="HD54" s="482"/>
      <c r="HE54" s="482"/>
      <c r="HF54" s="482"/>
      <c r="HG54" s="482"/>
      <c r="HH54" s="482"/>
      <c r="HI54" s="482"/>
      <c r="HJ54" s="482"/>
      <c r="HK54" s="482"/>
      <c r="HL54" s="482"/>
      <c r="HM54" s="482"/>
      <c r="HN54" s="482"/>
      <c r="HO54" s="482"/>
      <c r="HP54" s="482"/>
      <c r="HQ54" s="482"/>
      <c r="HR54" s="482"/>
      <c r="HS54" s="482"/>
      <c r="HT54" s="482"/>
      <c r="HU54" s="482"/>
      <c r="HV54" s="482"/>
      <c r="HW54" s="482"/>
      <c r="HX54" s="482"/>
      <c r="HY54" s="482"/>
      <c r="HZ54" s="482"/>
      <c r="IA54" s="482"/>
      <c r="IB54" s="482"/>
      <c r="IC54" s="482"/>
      <c r="ID54" s="482"/>
      <c r="IE54" s="482"/>
      <c r="IF54" s="482"/>
      <c r="IG54" s="482"/>
      <c r="IH54" s="482"/>
      <c r="II54" s="482"/>
      <c r="IJ54" s="482"/>
      <c r="IK54" s="482"/>
      <c r="IL54" s="482"/>
      <c r="IM54" s="482"/>
      <c r="IN54" s="482"/>
      <c r="IO54" s="482"/>
      <c r="IP54" s="482"/>
      <c r="IQ54" s="482"/>
      <c r="IR54" s="482"/>
    </row>
    <row r="55" spans="1:252" ht="15.75">
      <c r="A55" s="647" t="s">
        <v>921</v>
      </c>
      <c r="B55" s="656" t="s">
        <v>922</v>
      </c>
      <c r="C55" s="498">
        <v>61</v>
      </c>
      <c r="D55" s="489" t="s">
        <v>832</v>
      </c>
      <c r="E55" s="490">
        <v>494100</v>
      </c>
      <c r="F55" s="490">
        <f>C55*E55</f>
        <v>30140100</v>
      </c>
      <c r="G55" s="498">
        <v>65</v>
      </c>
      <c r="H55" s="489" t="s">
        <v>832</v>
      </c>
      <c r="I55" s="490">
        <v>494100</v>
      </c>
      <c r="J55" s="490">
        <f>G55*I55</f>
        <v>32116500</v>
      </c>
      <c r="K55" s="490">
        <v>32116</v>
      </c>
      <c r="L55" s="490">
        <v>32116</v>
      </c>
      <c r="M55" s="490">
        <v>32116</v>
      </c>
      <c r="N55" s="490">
        <v>32116</v>
      </c>
      <c r="O55" s="490">
        <v>34587</v>
      </c>
      <c r="P55" s="646">
        <v>34587</v>
      </c>
      <c r="Q55" s="482"/>
      <c r="R55" s="482"/>
      <c r="S55" s="482"/>
      <c r="T55" s="482"/>
      <c r="U55" s="482"/>
      <c r="V55" s="482"/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  <c r="AG55" s="482"/>
      <c r="AH55" s="482"/>
      <c r="AI55" s="482"/>
      <c r="AJ55" s="482"/>
      <c r="AK55" s="482"/>
      <c r="AL55" s="482"/>
      <c r="AM55" s="482"/>
      <c r="AN55" s="482"/>
      <c r="AO55" s="482"/>
      <c r="AP55" s="482"/>
      <c r="AQ55" s="482"/>
      <c r="AR55" s="482"/>
      <c r="AS55" s="482"/>
      <c r="AT55" s="482"/>
      <c r="AU55" s="482"/>
      <c r="AV55" s="482"/>
      <c r="AW55" s="482"/>
      <c r="AX55" s="482"/>
      <c r="AY55" s="482"/>
      <c r="AZ55" s="482"/>
      <c r="BA55" s="482"/>
      <c r="BB55" s="482"/>
      <c r="BC55" s="482"/>
      <c r="BD55" s="482"/>
      <c r="BE55" s="482"/>
      <c r="BF55" s="482"/>
      <c r="BG55" s="482"/>
      <c r="BH55" s="482"/>
      <c r="BI55" s="482"/>
      <c r="BJ55" s="482"/>
      <c r="BK55" s="482"/>
      <c r="BL55" s="482"/>
      <c r="BM55" s="482"/>
      <c r="BN55" s="482"/>
      <c r="BO55" s="482"/>
      <c r="BP55" s="482"/>
      <c r="BQ55" s="482"/>
      <c r="BR55" s="482"/>
      <c r="BS55" s="482"/>
      <c r="BT55" s="482"/>
      <c r="BU55" s="482"/>
      <c r="BV55" s="482"/>
      <c r="BW55" s="482"/>
      <c r="BX55" s="482"/>
      <c r="BY55" s="482"/>
      <c r="BZ55" s="482"/>
      <c r="CA55" s="482"/>
      <c r="CB55" s="482"/>
      <c r="CC55" s="482"/>
      <c r="CD55" s="482"/>
      <c r="CE55" s="482"/>
      <c r="CF55" s="482"/>
      <c r="CG55" s="482"/>
      <c r="CH55" s="482"/>
      <c r="CI55" s="482"/>
      <c r="CJ55" s="482"/>
      <c r="CK55" s="482"/>
      <c r="CL55" s="482"/>
      <c r="CM55" s="482"/>
      <c r="CN55" s="482"/>
      <c r="CO55" s="482"/>
      <c r="CP55" s="482"/>
      <c r="CQ55" s="482"/>
      <c r="CR55" s="482"/>
      <c r="CS55" s="482"/>
      <c r="CT55" s="482"/>
      <c r="CU55" s="482"/>
      <c r="CV55" s="482"/>
      <c r="CW55" s="482"/>
      <c r="CX55" s="482"/>
      <c r="CY55" s="482"/>
      <c r="CZ55" s="482"/>
      <c r="DA55" s="482"/>
      <c r="DB55" s="482"/>
      <c r="DC55" s="482"/>
      <c r="DD55" s="482"/>
      <c r="DE55" s="482"/>
      <c r="DF55" s="482"/>
      <c r="DG55" s="482"/>
      <c r="DH55" s="482"/>
      <c r="DI55" s="482"/>
      <c r="DJ55" s="482"/>
      <c r="DK55" s="482"/>
      <c r="DL55" s="482"/>
      <c r="DM55" s="482"/>
      <c r="DN55" s="482"/>
      <c r="DO55" s="482"/>
      <c r="DP55" s="482"/>
      <c r="DQ55" s="482"/>
      <c r="DR55" s="482"/>
      <c r="DS55" s="482"/>
      <c r="DT55" s="482"/>
      <c r="DU55" s="482"/>
      <c r="DV55" s="482"/>
      <c r="DW55" s="482"/>
      <c r="DX55" s="482"/>
      <c r="DY55" s="482"/>
      <c r="DZ55" s="482"/>
      <c r="EA55" s="482"/>
      <c r="EB55" s="482"/>
      <c r="EC55" s="482"/>
      <c r="ED55" s="482"/>
      <c r="EE55" s="482"/>
      <c r="EF55" s="482"/>
      <c r="EG55" s="482"/>
      <c r="EH55" s="482"/>
      <c r="EI55" s="482"/>
      <c r="EJ55" s="482"/>
      <c r="EK55" s="482"/>
      <c r="EL55" s="482"/>
      <c r="EM55" s="482"/>
      <c r="EN55" s="482"/>
      <c r="EO55" s="482"/>
      <c r="EP55" s="482"/>
      <c r="EQ55" s="482"/>
      <c r="ER55" s="482"/>
      <c r="ES55" s="482"/>
      <c r="ET55" s="482"/>
      <c r="EU55" s="482"/>
      <c r="EV55" s="482"/>
      <c r="EW55" s="482"/>
      <c r="EX55" s="482"/>
      <c r="EY55" s="482"/>
      <c r="EZ55" s="482"/>
      <c r="FA55" s="482"/>
      <c r="FB55" s="482"/>
      <c r="FC55" s="482"/>
      <c r="FD55" s="482"/>
      <c r="FE55" s="482"/>
      <c r="FF55" s="482"/>
      <c r="FG55" s="482"/>
      <c r="FH55" s="482"/>
      <c r="FI55" s="482"/>
      <c r="FJ55" s="482"/>
      <c r="FK55" s="482"/>
      <c r="FL55" s="482"/>
      <c r="FM55" s="482"/>
      <c r="FN55" s="482"/>
      <c r="FO55" s="482"/>
      <c r="FP55" s="482"/>
      <c r="FQ55" s="482"/>
      <c r="FR55" s="482"/>
      <c r="FS55" s="482"/>
      <c r="FT55" s="482"/>
      <c r="FU55" s="482"/>
      <c r="FV55" s="482"/>
      <c r="FW55" s="482"/>
      <c r="FX55" s="482"/>
      <c r="FY55" s="482"/>
      <c r="FZ55" s="482"/>
      <c r="GA55" s="482"/>
      <c r="GB55" s="482"/>
      <c r="GC55" s="482"/>
      <c r="GD55" s="482"/>
      <c r="GE55" s="482"/>
      <c r="GF55" s="482"/>
      <c r="GG55" s="482"/>
      <c r="GH55" s="482"/>
      <c r="GI55" s="482"/>
      <c r="GJ55" s="482"/>
      <c r="GK55" s="482"/>
      <c r="GL55" s="482"/>
      <c r="GM55" s="482"/>
      <c r="GN55" s="482"/>
      <c r="GO55" s="482"/>
      <c r="GP55" s="482"/>
      <c r="GQ55" s="482"/>
      <c r="GR55" s="482"/>
      <c r="GS55" s="482"/>
      <c r="GT55" s="482"/>
      <c r="GU55" s="482"/>
      <c r="GV55" s="482"/>
      <c r="GW55" s="482"/>
      <c r="GX55" s="482"/>
      <c r="GY55" s="482"/>
      <c r="GZ55" s="482"/>
      <c r="HA55" s="482"/>
      <c r="HB55" s="482"/>
      <c r="HC55" s="482"/>
      <c r="HD55" s="482"/>
      <c r="HE55" s="482"/>
      <c r="HF55" s="482"/>
      <c r="HG55" s="482"/>
      <c r="HH55" s="482"/>
      <c r="HI55" s="482"/>
      <c r="HJ55" s="482"/>
      <c r="HK55" s="482"/>
      <c r="HL55" s="482"/>
      <c r="HM55" s="482"/>
      <c r="HN55" s="482"/>
      <c r="HO55" s="482"/>
      <c r="HP55" s="482"/>
      <c r="HQ55" s="482"/>
      <c r="HR55" s="482"/>
      <c r="HS55" s="482"/>
      <c r="HT55" s="482"/>
      <c r="HU55" s="482"/>
      <c r="HV55" s="482"/>
      <c r="HW55" s="482"/>
      <c r="HX55" s="482"/>
      <c r="HY55" s="482"/>
      <c r="HZ55" s="482"/>
      <c r="IA55" s="482"/>
      <c r="IB55" s="482"/>
      <c r="IC55" s="482"/>
      <c r="ID55" s="482"/>
      <c r="IE55" s="482"/>
      <c r="IF55" s="482"/>
      <c r="IG55" s="482"/>
      <c r="IH55" s="482"/>
      <c r="II55" s="482"/>
      <c r="IJ55" s="482"/>
      <c r="IK55" s="482"/>
      <c r="IL55" s="482"/>
      <c r="IM55" s="482"/>
      <c r="IN55" s="482"/>
      <c r="IO55" s="482"/>
      <c r="IP55" s="482"/>
      <c r="IQ55" s="482"/>
      <c r="IR55" s="482"/>
    </row>
    <row r="56" spans="1:252" ht="15.75">
      <c r="A56" s="647" t="s">
        <v>921</v>
      </c>
      <c r="B56" s="656" t="s">
        <v>923</v>
      </c>
      <c r="C56" s="498">
        <v>8</v>
      </c>
      <c r="D56" s="489" t="s">
        <v>832</v>
      </c>
      <c r="E56" s="490">
        <v>518805</v>
      </c>
      <c r="F56" s="490">
        <f>C56*E56</f>
        <v>4150440</v>
      </c>
      <c r="G56" s="498">
        <v>0</v>
      </c>
      <c r="H56" s="489" t="s">
        <v>832</v>
      </c>
      <c r="I56" s="490">
        <v>494100</v>
      </c>
      <c r="J56" s="490">
        <v>0</v>
      </c>
      <c r="K56" s="490"/>
      <c r="L56" s="490"/>
      <c r="M56" s="490"/>
      <c r="N56" s="490"/>
      <c r="O56" s="490"/>
      <c r="P56" s="646"/>
      <c r="Q56" s="482"/>
      <c r="R56" s="482"/>
      <c r="S56" s="482"/>
      <c r="T56" s="482"/>
      <c r="U56" s="482"/>
      <c r="V56" s="482"/>
      <c r="W56" s="482"/>
      <c r="X56" s="482"/>
      <c r="Y56" s="482"/>
      <c r="Z56" s="482"/>
      <c r="AA56" s="482"/>
      <c r="AB56" s="482"/>
      <c r="AC56" s="482"/>
      <c r="AD56" s="482"/>
      <c r="AE56" s="482"/>
      <c r="AF56" s="482"/>
      <c r="AG56" s="482"/>
      <c r="AH56" s="482"/>
      <c r="AI56" s="482"/>
      <c r="AJ56" s="482"/>
      <c r="AK56" s="482"/>
      <c r="AL56" s="482"/>
      <c r="AM56" s="482"/>
      <c r="AN56" s="482"/>
      <c r="AO56" s="482"/>
      <c r="AP56" s="482"/>
      <c r="AQ56" s="482"/>
      <c r="AR56" s="482"/>
      <c r="AS56" s="482"/>
      <c r="AT56" s="482"/>
      <c r="AU56" s="482"/>
      <c r="AV56" s="482"/>
      <c r="AW56" s="482"/>
      <c r="AX56" s="482"/>
      <c r="AY56" s="482"/>
      <c r="AZ56" s="482"/>
      <c r="BA56" s="482"/>
      <c r="BB56" s="482"/>
      <c r="BC56" s="482"/>
      <c r="BD56" s="482"/>
      <c r="BE56" s="482"/>
      <c r="BF56" s="482"/>
      <c r="BG56" s="482"/>
      <c r="BH56" s="482"/>
      <c r="BI56" s="482"/>
      <c r="BJ56" s="482"/>
      <c r="BK56" s="482"/>
      <c r="BL56" s="482"/>
      <c r="BM56" s="482"/>
      <c r="BN56" s="482"/>
      <c r="BO56" s="482"/>
      <c r="BP56" s="482"/>
      <c r="BQ56" s="482"/>
      <c r="BR56" s="482"/>
      <c r="BS56" s="482"/>
      <c r="BT56" s="482"/>
      <c r="BU56" s="482"/>
      <c r="BV56" s="482"/>
      <c r="BW56" s="482"/>
      <c r="BX56" s="482"/>
      <c r="BY56" s="482"/>
      <c r="BZ56" s="482"/>
      <c r="CA56" s="482"/>
      <c r="CB56" s="482"/>
      <c r="CC56" s="482"/>
      <c r="CD56" s="482"/>
      <c r="CE56" s="482"/>
      <c r="CF56" s="482"/>
      <c r="CG56" s="482"/>
      <c r="CH56" s="482"/>
      <c r="CI56" s="482"/>
      <c r="CJ56" s="482"/>
      <c r="CK56" s="482"/>
      <c r="CL56" s="482"/>
      <c r="CM56" s="482"/>
      <c r="CN56" s="482"/>
      <c r="CO56" s="482"/>
      <c r="CP56" s="482"/>
      <c r="CQ56" s="482"/>
      <c r="CR56" s="482"/>
      <c r="CS56" s="482"/>
      <c r="CT56" s="482"/>
      <c r="CU56" s="482"/>
      <c r="CV56" s="482"/>
      <c r="CW56" s="482"/>
      <c r="CX56" s="482"/>
      <c r="CY56" s="482"/>
      <c r="CZ56" s="482"/>
      <c r="DA56" s="482"/>
      <c r="DB56" s="482"/>
      <c r="DC56" s="482"/>
      <c r="DD56" s="482"/>
      <c r="DE56" s="482"/>
      <c r="DF56" s="482"/>
      <c r="DG56" s="482"/>
      <c r="DH56" s="482"/>
      <c r="DI56" s="482"/>
      <c r="DJ56" s="482"/>
      <c r="DK56" s="482"/>
      <c r="DL56" s="482"/>
      <c r="DM56" s="482"/>
      <c r="DN56" s="482"/>
      <c r="DO56" s="482"/>
      <c r="DP56" s="482"/>
      <c r="DQ56" s="482"/>
      <c r="DR56" s="482"/>
      <c r="DS56" s="482"/>
      <c r="DT56" s="482"/>
      <c r="DU56" s="482"/>
      <c r="DV56" s="482"/>
      <c r="DW56" s="482"/>
      <c r="DX56" s="482"/>
      <c r="DY56" s="482"/>
      <c r="DZ56" s="482"/>
      <c r="EA56" s="482"/>
      <c r="EB56" s="482"/>
      <c r="EC56" s="482"/>
      <c r="ED56" s="482"/>
      <c r="EE56" s="482"/>
      <c r="EF56" s="482"/>
      <c r="EG56" s="482"/>
      <c r="EH56" s="482"/>
      <c r="EI56" s="482"/>
      <c r="EJ56" s="482"/>
      <c r="EK56" s="482"/>
      <c r="EL56" s="482"/>
      <c r="EM56" s="482"/>
      <c r="EN56" s="482"/>
      <c r="EO56" s="482"/>
      <c r="EP56" s="482"/>
      <c r="EQ56" s="482"/>
      <c r="ER56" s="482"/>
      <c r="ES56" s="482"/>
      <c r="ET56" s="482"/>
      <c r="EU56" s="482"/>
      <c r="EV56" s="482"/>
      <c r="EW56" s="482"/>
      <c r="EX56" s="482"/>
      <c r="EY56" s="482"/>
      <c r="EZ56" s="482"/>
      <c r="FA56" s="482"/>
      <c r="FB56" s="482"/>
      <c r="FC56" s="482"/>
      <c r="FD56" s="482"/>
      <c r="FE56" s="482"/>
      <c r="FF56" s="482"/>
      <c r="FG56" s="482"/>
      <c r="FH56" s="482"/>
      <c r="FI56" s="482"/>
      <c r="FJ56" s="482"/>
      <c r="FK56" s="482"/>
      <c r="FL56" s="482"/>
      <c r="FM56" s="482"/>
      <c r="FN56" s="482"/>
      <c r="FO56" s="482"/>
      <c r="FP56" s="482"/>
      <c r="FQ56" s="482"/>
      <c r="FR56" s="482"/>
      <c r="FS56" s="482"/>
      <c r="FT56" s="482"/>
      <c r="FU56" s="482"/>
      <c r="FV56" s="482"/>
      <c r="FW56" s="482"/>
      <c r="FX56" s="482"/>
      <c r="FY56" s="482"/>
      <c r="FZ56" s="482"/>
      <c r="GA56" s="482"/>
      <c r="GB56" s="482"/>
      <c r="GC56" s="482"/>
      <c r="GD56" s="482"/>
      <c r="GE56" s="482"/>
      <c r="GF56" s="482"/>
      <c r="GG56" s="482"/>
      <c r="GH56" s="482"/>
      <c r="GI56" s="482"/>
      <c r="GJ56" s="482"/>
      <c r="GK56" s="482"/>
      <c r="GL56" s="482"/>
      <c r="GM56" s="482"/>
      <c r="GN56" s="482"/>
      <c r="GO56" s="482"/>
      <c r="GP56" s="482"/>
      <c r="GQ56" s="482"/>
      <c r="GR56" s="482"/>
      <c r="GS56" s="482"/>
      <c r="GT56" s="482"/>
      <c r="GU56" s="482"/>
      <c r="GV56" s="482"/>
      <c r="GW56" s="482"/>
      <c r="GX56" s="482"/>
      <c r="GY56" s="482"/>
      <c r="GZ56" s="482"/>
      <c r="HA56" s="482"/>
      <c r="HB56" s="482"/>
      <c r="HC56" s="482"/>
      <c r="HD56" s="482"/>
      <c r="HE56" s="482"/>
      <c r="HF56" s="482"/>
      <c r="HG56" s="482"/>
      <c r="HH56" s="482"/>
      <c r="HI56" s="482"/>
      <c r="HJ56" s="482"/>
      <c r="HK56" s="482"/>
      <c r="HL56" s="482"/>
      <c r="HM56" s="482"/>
      <c r="HN56" s="482"/>
      <c r="HO56" s="482"/>
      <c r="HP56" s="482"/>
      <c r="HQ56" s="482"/>
      <c r="HR56" s="482"/>
      <c r="HS56" s="482"/>
      <c r="HT56" s="482"/>
      <c r="HU56" s="482"/>
      <c r="HV56" s="482"/>
      <c r="HW56" s="482"/>
      <c r="HX56" s="482"/>
      <c r="HY56" s="482"/>
      <c r="HZ56" s="482"/>
      <c r="IA56" s="482"/>
      <c r="IB56" s="482"/>
      <c r="IC56" s="482"/>
      <c r="ID56" s="482"/>
      <c r="IE56" s="482"/>
      <c r="IF56" s="482"/>
      <c r="IG56" s="482"/>
      <c r="IH56" s="482"/>
      <c r="II56" s="482"/>
      <c r="IJ56" s="482"/>
      <c r="IK56" s="482"/>
      <c r="IL56" s="482"/>
      <c r="IM56" s="482"/>
      <c r="IN56" s="482"/>
      <c r="IO56" s="482"/>
      <c r="IP56" s="482"/>
      <c r="IQ56" s="482"/>
      <c r="IR56" s="482"/>
    </row>
    <row r="57" spans="1:252" ht="15.75">
      <c r="A57" s="647" t="s">
        <v>921</v>
      </c>
      <c r="B57" s="656" t="s">
        <v>924</v>
      </c>
      <c r="C57" s="498">
        <v>6</v>
      </c>
      <c r="D57" s="489" t="s">
        <v>832</v>
      </c>
      <c r="E57" s="490">
        <v>543510</v>
      </c>
      <c r="F57" s="490">
        <f>C57*E57</f>
        <v>3261060</v>
      </c>
      <c r="G57" s="498">
        <v>0</v>
      </c>
      <c r="H57" s="489" t="s">
        <v>832</v>
      </c>
      <c r="I57" s="490">
        <v>494100</v>
      </c>
      <c r="J57" s="490">
        <v>0</v>
      </c>
      <c r="K57" s="490"/>
      <c r="L57" s="490"/>
      <c r="M57" s="490"/>
      <c r="N57" s="490"/>
      <c r="O57" s="490"/>
      <c r="P57" s="646"/>
      <c r="Q57" s="482"/>
      <c r="R57" s="482"/>
      <c r="S57" s="482"/>
      <c r="T57" s="482"/>
      <c r="U57" s="482"/>
      <c r="V57" s="482"/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2"/>
      <c r="AH57" s="482"/>
      <c r="AI57" s="482"/>
      <c r="AJ57" s="482"/>
      <c r="AK57" s="482"/>
      <c r="AL57" s="482"/>
      <c r="AM57" s="482"/>
      <c r="AN57" s="482"/>
      <c r="AO57" s="482"/>
      <c r="AP57" s="482"/>
      <c r="AQ57" s="482"/>
      <c r="AR57" s="482"/>
      <c r="AS57" s="482"/>
      <c r="AT57" s="482"/>
      <c r="AU57" s="482"/>
      <c r="AV57" s="482"/>
      <c r="AW57" s="482"/>
      <c r="AX57" s="482"/>
      <c r="AY57" s="482"/>
      <c r="AZ57" s="482"/>
      <c r="BA57" s="482"/>
      <c r="BB57" s="482"/>
      <c r="BC57" s="482"/>
      <c r="BD57" s="482"/>
      <c r="BE57" s="482"/>
      <c r="BF57" s="482"/>
      <c r="BG57" s="482"/>
      <c r="BH57" s="482"/>
      <c r="BI57" s="482"/>
      <c r="BJ57" s="482"/>
      <c r="BK57" s="482"/>
      <c r="BL57" s="482"/>
      <c r="BM57" s="482"/>
      <c r="BN57" s="482"/>
      <c r="BO57" s="482"/>
      <c r="BP57" s="482"/>
      <c r="BQ57" s="482"/>
      <c r="BR57" s="482"/>
      <c r="BS57" s="482"/>
      <c r="BT57" s="482"/>
      <c r="BU57" s="482"/>
      <c r="BV57" s="482"/>
      <c r="BW57" s="482"/>
      <c r="BX57" s="482"/>
      <c r="BY57" s="482"/>
      <c r="BZ57" s="482"/>
      <c r="CA57" s="482"/>
      <c r="CB57" s="482"/>
      <c r="CC57" s="482"/>
      <c r="CD57" s="482"/>
      <c r="CE57" s="482"/>
      <c r="CF57" s="482"/>
      <c r="CG57" s="482"/>
      <c r="CH57" s="482"/>
      <c r="CI57" s="482"/>
      <c r="CJ57" s="482"/>
      <c r="CK57" s="482"/>
      <c r="CL57" s="482"/>
      <c r="CM57" s="482"/>
      <c r="CN57" s="482"/>
      <c r="CO57" s="482"/>
      <c r="CP57" s="482"/>
      <c r="CQ57" s="482"/>
      <c r="CR57" s="482"/>
      <c r="CS57" s="482"/>
      <c r="CT57" s="482"/>
      <c r="CU57" s="482"/>
      <c r="CV57" s="482"/>
      <c r="CW57" s="482"/>
      <c r="CX57" s="482"/>
      <c r="CY57" s="482"/>
      <c r="CZ57" s="482"/>
      <c r="DA57" s="482"/>
      <c r="DB57" s="482"/>
      <c r="DC57" s="482"/>
      <c r="DD57" s="482"/>
      <c r="DE57" s="482"/>
      <c r="DF57" s="482"/>
      <c r="DG57" s="482"/>
      <c r="DH57" s="482"/>
      <c r="DI57" s="482"/>
      <c r="DJ57" s="482"/>
      <c r="DK57" s="482"/>
      <c r="DL57" s="482"/>
      <c r="DM57" s="482"/>
      <c r="DN57" s="482"/>
      <c r="DO57" s="482"/>
      <c r="DP57" s="482"/>
      <c r="DQ57" s="482"/>
      <c r="DR57" s="482"/>
      <c r="DS57" s="482"/>
      <c r="DT57" s="482"/>
      <c r="DU57" s="482"/>
      <c r="DV57" s="482"/>
      <c r="DW57" s="482"/>
      <c r="DX57" s="482"/>
      <c r="DY57" s="482"/>
      <c r="DZ57" s="482"/>
      <c r="EA57" s="482"/>
      <c r="EB57" s="482"/>
      <c r="EC57" s="482"/>
      <c r="ED57" s="482"/>
      <c r="EE57" s="482"/>
      <c r="EF57" s="482"/>
      <c r="EG57" s="482"/>
      <c r="EH57" s="482"/>
      <c r="EI57" s="482"/>
      <c r="EJ57" s="482"/>
      <c r="EK57" s="482"/>
      <c r="EL57" s="482"/>
      <c r="EM57" s="482"/>
      <c r="EN57" s="482"/>
      <c r="EO57" s="482"/>
      <c r="EP57" s="482"/>
      <c r="EQ57" s="482"/>
      <c r="ER57" s="482"/>
      <c r="ES57" s="482"/>
      <c r="ET57" s="482"/>
      <c r="EU57" s="482"/>
      <c r="EV57" s="482"/>
      <c r="EW57" s="482"/>
      <c r="EX57" s="482"/>
      <c r="EY57" s="482"/>
      <c r="EZ57" s="482"/>
      <c r="FA57" s="482"/>
      <c r="FB57" s="482"/>
      <c r="FC57" s="482"/>
      <c r="FD57" s="482"/>
      <c r="FE57" s="482"/>
      <c r="FF57" s="482"/>
      <c r="FG57" s="482"/>
      <c r="FH57" s="482"/>
      <c r="FI57" s="482"/>
      <c r="FJ57" s="482"/>
      <c r="FK57" s="482"/>
      <c r="FL57" s="482"/>
      <c r="FM57" s="482"/>
      <c r="FN57" s="482"/>
      <c r="FO57" s="482"/>
      <c r="FP57" s="482"/>
      <c r="FQ57" s="482"/>
      <c r="FR57" s="482"/>
      <c r="FS57" s="482"/>
      <c r="FT57" s="482"/>
      <c r="FU57" s="482"/>
      <c r="FV57" s="482"/>
      <c r="FW57" s="482"/>
      <c r="FX57" s="482"/>
      <c r="FY57" s="482"/>
      <c r="FZ57" s="482"/>
      <c r="GA57" s="482"/>
      <c r="GB57" s="482"/>
      <c r="GC57" s="482"/>
      <c r="GD57" s="482"/>
      <c r="GE57" s="482"/>
      <c r="GF57" s="482"/>
      <c r="GG57" s="482"/>
      <c r="GH57" s="482"/>
      <c r="GI57" s="482"/>
      <c r="GJ57" s="482"/>
      <c r="GK57" s="482"/>
      <c r="GL57" s="482"/>
      <c r="GM57" s="482"/>
      <c r="GN57" s="482"/>
      <c r="GO57" s="482"/>
      <c r="GP57" s="482"/>
      <c r="GQ57" s="482"/>
      <c r="GR57" s="482"/>
      <c r="GS57" s="482"/>
      <c r="GT57" s="482"/>
      <c r="GU57" s="482"/>
      <c r="GV57" s="482"/>
      <c r="GW57" s="482"/>
      <c r="GX57" s="482"/>
      <c r="GY57" s="482"/>
      <c r="GZ57" s="482"/>
      <c r="HA57" s="482"/>
      <c r="HB57" s="482"/>
      <c r="HC57" s="482"/>
      <c r="HD57" s="482"/>
      <c r="HE57" s="482"/>
      <c r="HF57" s="482"/>
      <c r="HG57" s="482"/>
      <c r="HH57" s="482"/>
      <c r="HI57" s="482"/>
      <c r="HJ57" s="482"/>
      <c r="HK57" s="482"/>
      <c r="HL57" s="482"/>
      <c r="HM57" s="482"/>
      <c r="HN57" s="482"/>
      <c r="HO57" s="482"/>
      <c r="HP57" s="482"/>
      <c r="HQ57" s="482"/>
      <c r="HR57" s="482"/>
      <c r="HS57" s="482"/>
      <c r="HT57" s="482"/>
      <c r="HU57" s="482"/>
      <c r="HV57" s="482"/>
      <c r="HW57" s="482"/>
      <c r="HX57" s="482"/>
      <c r="HY57" s="482"/>
      <c r="HZ57" s="482"/>
      <c r="IA57" s="482"/>
      <c r="IB57" s="482"/>
      <c r="IC57" s="482"/>
      <c r="ID57" s="482"/>
      <c r="IE57" s="482"/>
      <c r="IF57" s="482"/>
      <c r="IG57" s="482"/>
      <c r="IH57" s="482"/>
      <c r="II57" s="482"/>
      <c r="IJ57" s="482"/>
      <c r="IK57" s="482"/>
      <c r="IL57" s="482"/>
      <c r="IM57" s="482"/>
      <c r="IN57" s="482"/>
      <c r="IO57" s="482"/>
      <c r="IP57" s="482"/>
      <c r="IQ57" s="482"/>
      <c r="IR57" s="482"/>
    </row>
    <row r="58" spans="1:252" ht="17.25" customHeight="1">
      <c r="A58" s="647" t="s">
        <v>921</v>
      </c>
      <c r="B58" s="645" t="s">
        <v>925</v>
      </c>
      <c r="C58" s="498">
        <v>4</v>
      </c>
      <c r="D58" s="489" t="s">
        <v>832</v>
      </c>
      <c r="E58" s="490">
        <v>741150</v>
      </c>
      <c r="F58" s="490">
        <f>C58*E58</f>
        <v>2964600</v>
      </c>
      <c r="G58" s="498">
        <v>4</v>
      </c>
      <c r="H58" s="489" t="s">
        <v>832</v>
      </c>
      <c r="I58" s="490">
        <v>494100</v>
      </c>
      <c r="J58" s="490">
        <f>G58*I58*1.5</f>
        <v>2964600</v>
      </c>
      <c r="K58" s="490">
        <v>2965</v>
      </c>
      <c r="L58" s="490">
        <v>2965</v>
      </c>
      <c r="M58" s="490">
        <v>2965</v>
      </c>
      <c r="N58" s="490">
        <v>2965</v>
      </c>
      <c r="O58" s="490">
        <v>2965</v>
      </c>
      <c r="P58" s="646">
        <v>2965</v>
      </c>
      <c r="Q58" s="482"/>
      <c r="R58" s="482"/>
      <c r="S58" s="482"/>
      <c r="T58" s="482"/>
      <c r="U58" s="482"/>
      <c r="V58" s="482"/>
      <c r="W58" s="482"/>
      <c r="X58" s="482"/>
      <c r="Y58" s="482"/>
      <c r="Z58" s="482"/>
      <c r="AA58" s="482"/>
      <c r="AB58" s="482"/>
      <c r="AC58" s="482"/>
      <c r="AD58" s="482"/>
      <c r="AE58" s="482"/>
      <c r="AF58" s="482"/>
      <c r="AG58" s="482"/>
      <c r="AH58" s="482"/>
      <c r="AI58" s="482"/>
      <c r="AJ58" s="482"/>
      <c r="AK58" s="482"/>
      <c r="AL58" s="482"/>
      <c r="AM58" s="482"/>
      <c r="AN58" s="482"/>
      <c r="AO58" s="482"/>
      <c r="AP58" s="482"/>
      <c r="AQ58" s="482"/>
      <c r="AR58" s="482"/>
      <c r="AS58" s="482"/>
      <c r="AT58" s="482"/>
      <c r="AU58" s="482"/>
      <c r="AV58" s="482"/>
      <c r="AW58" s="482"/>
      <c r="AX58" s="482"/>
      <c r="AY58" s="482"/>
      <c r="AZ58" s="482"/>
      <c r="BA58" s="482"/>
      <c r="BB58" s="482"/>
      <c r="BC58" s="482"/>
      <c r="BD58" s="482"/>
      <c r="BE58" s="482"/>
      <c r="BF58" s="482"/>
      <c r="BG58" s="482"/>
      <c r="BH58" s="482"/>
      <c r="BI58" s="482"/>
      <c r="BJ58" s="482"/>
      <c r="BK58" s="482"/>
      <c r="BL58" s="482"/>
      <c r="BM58" s="482"/>
      <c r="BN58" s="482"/>
      <c r="BO58" s="482"/>
      <c r="BP58" s="482"/>
      <c r="BQ58" s="482"/>
      <c r="BR58" s="482"/>
      <c r="BS58" s="482"/>
      <c r="BT58" s="482"/>
      <c r="BU58" s="482"/>
      <c r="BV58" s="482"/>
      <c r="BW58" s="482"/>
      <c r="BX58" s="482"/>
      <c r="BY58" s="482"/>
      <c r="BZ58" s="482"/>
      <c r="CA58" s="482"/>
      <c r="CB58" s="482"/>
      <c r="CC58" s="482"/>
      <c r="CD58" s="482"/>
      <c r="CE58" s="482"/>
      <c r="CF58" s="482"/>
      <c r="CG58" s="482"/>
      <c r="CH58" s="482"/>
      <c r="CI58" s="482"/>
      <c r="CJ58" s="482"/>
      <c r="CK58" s="482"/>
      <c r="CL58" s="482"/>
      <c r="CM58" s="482"/>
      <c r="CN58" s="482"/>
      <c r="CO58" s="482"/>
      <c r="CP58" s="482"/>
      <c r="CQ58" s="482"/>
      <c r="CR58" s="482"/>
      <c r="CS58" s="482"/>
      <c r="CT58" s="482"/>
      <c r="CU58" s="482"/>
      <c r="CV58" s="482"/>
      <c r="CW58" s="482"/>
      <c r="CX58" s="482"/>
      <c r="CY58" s="482"/>
      <c r="CZ58" s="482"/>
      <c r="DA58" s="482"/>
      <c r="DB58" s="482"/>
      <c r="DC58" s="482"/>
      <c r="DD58" s="482"/>
      <c r="DE58" s="482"/>
      <c r="DF58" s="482"/>
      <c r="DG58" s="482"/>
      <c r="DH58" s="482"/>
      <c r="DI58" s="482"/>
      <c r="DJ58" s="482"/>
      <c r="DK58" s="482"/>
      <c r="DL58" s="482"/>
      <c r="DM58" s="482"/>
      <c r="DN58" s="482"/>
      <c r="DO58" s="482"/>
      <c r="DP58" s="482"/>
      <c r="DQ58" s="482"/>
      <c r="DR58" s="482"/>
      <c r="DS58" s="482"/>
      <c r="DT58" s="482"/>
      <c r="DU58" s="482"/>
      <c r="DV58" s="482"/>
      <c r="DW58" s="482"/>
      <c r="DX58" s="482"/>
      <c r="DY58" s="482"/>
      <c r="DZ58" s="482"/>
      <c r="EA58" s="482"/>
      <c r="EB58" s="482"/>
      <c r="EC58" s="482"/>
      <c r="ED58" s="482"/>
      <c r="EE58" s="482"/>
      <c r="EF58" s="482"/>
      <c r="EG58" s="482"/>
      <c r="EH58" s="482"/>
      <c r="EI58" s="482"/>
      <c r="EJ58" s="482"/>
      <c r="EK58" s="482"/>
      <c r="EL58" s="482"/>
      <c r="EM58" s="482"/>
      <c r="EN58" s="482"/>
      <c r="EO58" s="482"/>
      <c r="EP58" s="482"/>
      <c r="EQ58" s="482"/>
      <c r="ER58" s="482"/>
      <c r="ES58" s="482"/>
      <c r="ET58" s="482"/>
      <c r="EU58" s="482"/>
      <c r="EV58" s="482"/>
      <c r="EW58" s="482"/>
      <c r="EX58" s="482"/>
      <c r="EY58" s="482"/>
      <c r="EZ58" s="482"/>
      <c r="FA58" s="482"/>
      <c r="FB58" s="482"/>
      <c r="FC58" s="482"/>
      <c r="FD58" s="482"/>
      <c r="FE58" s="482"/>
      <c r="FF58" s="482"/>
      <c r="FG58" s="482"/>
      <c r="FH58" s="482"/>
      <c r="FI58" s="482"/>
      <c r="FJ58" s="482"/>
      <c r="FK58" s="482"/>
      <c r="FL58" s="482"/>
      <c r="FM58" s="482"/>
      <c r="FN58" s="482"/>
      <c r="FO58" s="482"/>
      <c r="FP58" s="482"/>
      <c r="FQ58" s="482"/>
      <c r="FR58" s="482"/>
      <c r="FS58" s="482"/>
      <c r="FT58" s="482"/>
      <c r="FU58" s="482"/>
      <c r="FV58" s="482"/>
      <c r="FW58" s="482"/>
      <c r="FX58" s="482"/>
      <c r="FY58" s="482"/>
      <c r="FZ58" s="482"/>
      <c r="GA58" s="482"/>
      <c r="GB58" s="482"/>
      <c r="GC58" s="482"/>
      <c r="GD58" s="482"/>
      <c r="GE58" s="482"/>
      <c r="GF58" s="482"/>
      <c r="GG58" s="482"/>
      <c r="GH58" s="482"/>
      <c r="GI58" s="482"/>
      <c r="GJ58" s="482"/>
      <c r="GK58" s="482"/>
      <c r="GL58" s="482"/>
      <c r="GM58" s="482"/>
      <c r="GN58" s="482"/>
      <c r="GO58" s="482"/>
      <c r="GP58" s="482"/>
      <c r="GQ58" s="482"/>
      <c r="GR58" s="482"/>
      <c r="GS58" s="482"/>
      <c r="GT58" s="482"/>
      <c r="GU58" s="482"/>
      <c r="GV58" s="482"/>
      <c r="GW58" s="482"/>
      <c r="GX58" s="482"/>
      <c r="GY58" s="482"/>
      <c r="GZ58" s="482"/>
      <c r="HA58" s="482"/>
      <c r="HB58" s="482"/>
      <c r="HC58" s="482"/>
      <c r="HD58" s="482"/>
      <c r="HE58" s="482"/>
      <c r="HF58" s="482"/>
      <c r="HG58" s="482"/>
      <c r="HH58" s="482"/>
      <c r="HI58" s="482"/>
      <c r="HJ58" s="482"/>
      <c r="HK58" s="482"/>
      <c r="HL58" s="482"/>
      <c r="HM58" s="482"/>
      <c r="HN58" s="482"/>
      <c r="HO58" s="482"/>
      <c r="HP58" s="482"/>
      <c r="HQ58" s="482"/>
      <c r="HR58" s="482"/>
      <c r="HS58" s="482"/>
      <c r="HT58" s="482"/>
      <c r="HU58" s="482"/>
      <c r="HV58" s="482"/>
      <c r="HW58" s="482"/>
      <c r="HX58" s="482"/>
      <c r="HY58" s="482"/>
      <c r="HZ58" s="482"/>
      <c r="IA58" s="482"/>
      <c r="IB58" s="482"/>
      <c r="IC58" s="482"/>
      <c r="ID58" s="482"/>
      <c r="IE58" s="482"/>
      <c r="IF58" s="482"/>
      <c r="IG58" s="482"/>
      <c r="IH58" s="482"/>
      <c r="II58" s="482"/>
      <c r="IJ58" s="482"/>
      <c r="IK58" s="482"/>
      <c r="IL58" s="482"/>
      <c r="IM58" s="482"/>
      <c r="IN58" s="482"/>
      <c r="IO58" s="482"/>
      <c r="IP58" s="482"/>
      <c r="IQ58" s="482"/>
      <c r="IR58" s="482"/>
    </row>
    <row r="59" spans="1:252" ht="17.25" customHeight="1">
      <c r="A59" s="652" t="s">
        <v>919</v>
      </c>
      <c r="B59" s="658" t="s">
        <v>926</v>
      </c>
      <c r="C59" s="498"/>
      <c r="D59" s="489"/>
      <c r="E59" s="490"/>
      <c r="F59" s="654">
        <f>SUM(F55:F58)</f>
        <v>40516200</v>
      </c>
      <c r="G59" s="498"/>
      <c r="H59" s="489"/>
      <c r="I59" s="490"/>
      <c r="J59" s="654">
        <f aca="true" t="shared" si="4" ref="J59:P59">SUM(J55:J58)</f>
        <v>35081100</v>
      </c>
      <c r="K59" s="654">
        <f t="shared" si="4"/>
        <v>35081</v>
      </c>
      <c r="L59" s="654">
        <f t="shared" si="4"/>
        <v>35081</v>
      </c>
      <c r="M59" s="654">
        <f t="shared" si="4"/>
        <v>35081</v>
      </c>
      <c r="N59" s="654">
        <f t="shared" si="4"/>
        <v>35081</v>
      </c>
      <c r="O59" s="654">
        <f t="shared" si="4"/>
        <v>37552</v>
      </c>
      <c r="P59" s="655">
        <f t="shared" si="4"/>
        <v>37552</v>
      </c>
      <c r="Q59" s="482"/>
      <c r="R59" s="482"/>
      <c r="S59" s="482"/>
      <c r="T59" s="482"/>
      <c r="U59" s="482"/>
      <c r="V59" s="482"/>
      <c r="W59" s="482"/>
      <c r="X59" s="482"/>
      <c r="Y59" s="482"/>
      <c r="Z59" s="482"/>
      <c r="AA59" s="482"/>
      <c r="AB59" s="482"/>
      <c r="AC59" s="482"/>
      <c r="AD59" s="482"/>
      <c r="AE59" s="482"/>
      <c r="AF59" s="482"/>
      <c r="AG59" s="482"/>
      <c r="AH59" s="482"/>
      <c r="AI59" s="482"/>
      <c r="AJ59" s="482"/>
      <c r="AK59" s="482"/>
      <c r="AL59" s="482"/>
      <c r="AM59" s="482"/>
      <c r="AN59" s="482"/>
      <c r="AO59" s="482"/>
      <c r="AP59" s="482"/>
      <c r="AQ59" s="482"/>
      <c r="AR59" s="482"/>
      <c r="AS59" s="482"/>
      <c r="AT59" s="482"/>
      <c r="AU59" s="482"/>
      <c r="AV59" s="482"/>
      <c r="AW59" s="482"/>
      <c r="AX59" s="482"/>
      <c r="AY59" s="482"/>
      <c r="AZ59" s="482"/>
      <c r="BA59" s="482"/>
      <c r="BB59" s="482"/>
      <c r="BC59" s="482"/>
      <c r="BD59" s="482"/>
      <c r="BE59" s="482"/>
      <c r="BF59" s="482"/>
      <c r="BG59" s="482"/>
      <c r="BH59" s="482"/>
      <c r="BI59" s="482"/>
      <c r="BJ59" s="482"/>
      <c r="BK59" s="482"/>
      <c r="BL59" s="482"/>
      <c r="BM59" s="482"/>
      <c r="BN59" s="482"/>
      <c r="BO59" s="482"/>
      <c r="BP59" s="482"/>
      <c r="BQ59" s="482"/>
      <c r="BR59" s="482"/>
      <c r="BS59" s="482"/>
      <c r="BT59" s="482"/>
      <c r="BU59" s="482"/>
      <c r="BV59" s="482"/>
      <c r="BW59" s="482"/>
      <c r="BX59" s="482"/>
      <c r="BY59" s="482"/>
      <c r="BZ59" s="482"/>
      <c r="CA59" s="482"/>
      <c r="CB59" s="482"/>
      <c r="CC59" s="482"/>
      <c r="CD59" s="482"/>
      <c r="CE59" s="482"/>
      <c r="CF59" s="482"/>
      <c r="CG59" s="482"/>
      <c r="CH59" s="482"/>
      <c r="CI59" s="482"/>
      <c r="CJ59" s="482"/>
      <c r="CK59" s="482"/>
      <c r="CL59" s="482"/>
      <c r="CM59" s="482"/>
      <c r="CN59" s="482"/>
      <c r="CO59" s="482"/>
      <c r="CP59" s="482"/>
      <c r="CQ59" s="482"/>
      <c r="CR59" s="482"/>
      <c r="CS59" s="482"/>
      <c r="CT59" s="482"/>
      <c r="CU59" s="482"/>
      <c r="CV59" s="482"/>
      <c r="CW59" s="482"/>
      <c r="CX59" s="482"/>
      <c r="CY59" s="482"/>
      <c r="CZ59" s="482"/>
      <c r="DA59" s="482"/>
      <c r="DB59" s="482"/>
      <c r="DC59" s="482"/>
      <c r="DD59" s="482"/>
      <c r="DE59" s="482"/>
      <c r="DF59" s="482"/>
      <c r="DG59" s="482"/>
      <c r="DH59" s="482"/>
      <c r="DI59" s="482"/>
      <c r="DJ59" s="482"/>
      <c r="DK59" s="482"/>
      <c r="DL59" s="482"/>
      <c r="DM59" s="482"/>
      <c r="DN59" s="482"/>
      <c r="DO59" s="482"/>
      <c r="DP59" s="482"/>
      <c r="DQ59" s="482"/>
      <c r="DR59" s="482"/>
      <c r="DS59" s="482"/>
      <c r="DT59" s="482"/>
      <c r="DU59" s="482"/>
      <c r="DV59" s="482"/>
      <c r="DW59" s="482"/>
      <c r="DX59" s="482"/>
      <c r="DY59" s="482"/>
      <c r="DZ59" s="482"/>
      <c r="EA59" s="482"/>
      <c r="EB59" s="482"/>
      <c r="EC59" s="482"/>
      <c r="ED59" s="482"/>
      <c r="EE59" s="482"/>
      <c r="EF59" s="482"/>
      <c r="EG59" s="482"/>
      <c r="EH59" s="482"/>
      <c r="EI59" s="482"/>
      <c r="EJ59" s="482"/>
      <c r="EK59" s="482"/>
      <c r="EL59" s="482"/>
      <c r="EM59" s="482"/>
      <c r="EN59" s="482"/>
      <c r="EO59" s="482"/>
      <c r="EP59" s="482"/>
      <c r="EQ59" s="482"/>
      <c r="ER59" s="482"/>
      <c r="ES59" s="482"/>
      <c r="ET59" s="482"/>
      <c r="EU59" s="482"/>
      <c r="EV59" s="482"/>
      <c r="EW59" s="482"/>
      <c r="EX59" s="482"/>
      <c r="EY59" s="482"/>
      <c r="EZ59" s="482"/>
      <c r="FA59" s="482"/>
      <c r="FB59" s="482"/>
      <c r="FC59" s="482"/>
      <c r="FD59" s="482"/>
      <c r="FE59" s="482"/>
      <c r="FF59" s="482"/>
      <c r="FG59" s="482"/>
      <c r="FH59" s="482"/>
      <c r="FI59" s="482"/>
      <c r="FJ59" s="482"/>
      <c r="FK59" s="482"/>
      <c r="FL59" s="482"/>
      <c r="FM59" s="482"/>
      <c r="FN59" s="482"/>
      <c r="FO59" s="482"/>
      <c r="FP59" s="482"/>
      <c r="FQ59" s="482"/>
      <c r="FR59" s="482"/>
      <c r="FS59" s="482"/>
      <c r="FT59" s="482"/>
      <c r="FU59" s="482"/>
      <c r="FV59" s="482"/>
      <c r="FW59" s="482"/>
      <c r="FX59" s="482"/>
      <c r="FY59" s="482"/>
      <c r="FZ59" s="482"/>
      <c r="GA59" s="482"/>
      <c r="GB59" s="482"/>
      <c r="GC59" s="482"/>
      <c r="GD59" s="482"/>
      <c r="GE59" s="482"/>
      <c r="GF59" s="482"/>
      <c r="GG59" s="482"/>
      <c r="GH59" s="482"/>
      <c r="GI59" s="482"/>
      <c r="GJ59" s="482"/>
      <c r="GK59" s="482"/>
      <c r="GL59" s="482"/>
      <c r="GM59" s="482"/>
      <c r="GN59" s="482"/>
      <c r="GO59" s="482"/>
      <c r="GP59" s="482"/>
      <c r="GQ59" s="482"/>
      <c r="GR59" s="482"/>
      <c r="GS59" s="482"/>
      <c r="GT59" s="482"/>
      <c r="GU59" s="482"/>
      <c r="GV59" s="482"/>
      <c r="GW59" s="482"/>
      <c r="GX59" s="482"/>
      <c r="GY59" s="482"/>
      <c r="GZ59" s="482"/>
      <c r="HA59" s="482"/>
      <c r="HB59" s="482"/>
      <c r="HC59" s="482"/>
      <c r="HD59" s="482"/>
      <c r="HE59" s="482"/>
      <c r="HF59" s="482"/>
      <c r="HG59" s="482"/>
      <c r="HH59" s="482"/>
      <c r="HI59" s="482"/>
      <c r="HJ59" s="482"/>
      <c r="HK59" s="482"/>
      <c r="HL59" s="482"/>
      <c r="HM59" s="482"/>
      <c r="HN59" s="482"/>
      <c r="HO59" s="482"/>
      <c r="HP59" s="482"/>
      <c r="HQ59" s="482"/>
      <c r="HR59" s="482"/>
      <c r="HS59" s="482"/>
      <c r="HT59" s="482"/>
      <c r="HU59" s="482"/>
      <c r="HV59" s="482"/>
      <c r="HW59" s="482"/>
      <c r="HX59" s="482"/>
      <c r="HY59" s="482"/>
      <c r="HZ59" s="482"/>
      <c r="IA59" s="482"/>
      <c r="IB59" s="482"/>
      <c r="IC59" s="482"/>
      <c r="ID59" s="482"/>
      <c r="IE59" s="482"/>
      <c r="IF59" s="482"/>
      <c r="IG59" s="482"/>
      <c r="IH59" s="482"/>
      <c r="II59" s="482"/>
      <c r="IJ59" s="482"/>
      <c r="IK59" s="482"/>
      <c r="IL59" s="482"/>
      <c r="IM59" s="482"/>
      <c r="IN59" s="482"/>
      <c r="IO59" s="482"/>
      <c r="IP59" s="482"/>
      <c r="IQ59" s="482"/>
      <c r="IR59" s="482"/>
    </row>
    <row r="60" spans="1:252" ht="15.75">
      <c r="A60" s="640" t="s">
        <v>927</v>
      </c>
      <c r="B60" s="656" t="s">
        <v>928</v>
      </c>
      <c r="C60" s="498">
        <v>32</v>
      </c>
      <c r="D60" s="489" t="s">
        <v>929</v>
      </c>
      <c r="E60" s="490">
        <v>468350</v>
      </c>
      <c r="F60" s="642">
        <f>C60*(E60*1.1)</f>
        <v>16485920.000000002</v>
      </c>
      <c r="G60" s="498">
        <v>32</v>
      </c>
      <c r="H60" s="489" t="s">
        <v>929</v>
      </c>
      <c r="I60" s="490">
        <v>468350</v>
      </c>
      <c r="J60" s="642">
        <f>G60*I60*1.1</f>
        <v>16485920.000000002</v>
      </c>
      <c r="K60" s="642">
        <v>16486</v>
      </c>
      <c r="L60" s="642">
        <v>16486</v>
      </c>
      <c r="M60" s="642">
        <v>16486</v>
      </c>
      <c r="N60" s="642">
        <v>16486</v>
      </c>
      <c r="O60" s="642">
        <v>16486</v>
      </c>
      <c r="P60" s="643">
        <v>16486</v>
      </c>
      <c r="Q60" s="482"/>
      <c r="R60" s="482"/>
      <c r="S60" s="482"/>
      <c r="T60" s="482"/>
      <c r="U60" s="482"/>
      <c r="V60" s="482"/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  <c r="AG60" s="482"/>
      <c r="AH60" s="482"/>
      <c r="AI60" s="482"/>
      <c r="AJ60" s="482"/>
      <c r="AK60" s="482"/>
      <c r="AL60" s="482"/>
      <c r="AM60" s="482"/>
      <c r="AN60" s="482"/>
      <c r="AO60" s="482"/>
      <c r="AP60" s="482"/>
      <c r="AQ60" s="482"/>
      <c r="AR60" s="482"/>
      <c r="AS60" s="482"/>
      <c r="AT60" s="482"/>
      <c r="AU60" s="482"/>
      <c r="AV60" s="482"/>
      <c r="AW60" s="482"/>
      <c r="AX60" s="482"/>
      <c r="AY60" s="482"/>
      <c r="AZ60" s="482"/>
      <c r="BA60" s="482"/>
      <c r="BB60" s="482"/>
      <c r="BC60" s="482"/>
      <c r="BD60" s="482"/>
      <c r="BE60" s="482"/>
      <c r="BF60" s="482"/>
      <c r="BG60" s="482"/>
      <c r="BH60" s="482"/>
      <c r="BI60" s="482"/>
      <c r="BJ60" s="482"/>
      <c r="BK60" s="482"/>
      <c r="BL60" s="482"/>
      <c r="BM60" s="482"/>
      <c r="BN60" s="482"/>
      <c r="BO60" s="482"/>
      <c r="BP60" s="482"/>
      <c r="BQ60" s="482"/>
      <c r="BR60" s="482"/>
      <c r="BS60" s="482"/>
      <c r="BT60" s="482"/>
      <c r="BU60" s="482"/>
      <c r="BV60" s="482"/>
      <c r="BW60" s="482"/>
      <c r="BX60" s="482"/>
      <c r="BY60" s="482"/>
      <c r="BZ60" s="482"/>
      <c r="CA60" s="482"/>
      <c r="CB60" s="482"/>
      <c r="CC60" s="482"/>
      <c r="CD60" s="482"/>
      <c r="CE60" s="482"/>
      <c r="CF60" s="482"/>
      <c r="CG60" s="482"/>
      <c r="CH60" s="482"/>
      <c r="CI60" s="482"/>
      <c r="CJ60" s="482"/>
      <c r="CK60" s="482"/>
      <c r="CL60" s="482"/>
      <c r="CM60" s="482"/>
      <c r="CN60" s="482"/>
      <c r="CO60" s="482"/>
      <c r="CP60" s="482"/>
      <c r="CQ60" s="482"/>
      <c r="CR60" s="482"/>
      <c r="CS60" s="482"/>
      <c r="CT60" s="482"/>
      <c r="CU60" s="482"/>
      <c r="CV60" s="482"/>
      <c r="CW60" s="482"/>
      <c r="CX60" s="482"/>
      <c r="CY60" s="482"/>
      <c r="CZ60" s="482"/>
      <c r="DA60" s="482"/>
      <c r="DB60" s="482"/>
      <c r="DC60" s="482"/>
      <c r="DD60" s="482"/>
      <c r="DE60" s="482"/>
      <c r="DF60" s="482"/>
      <c r="DG60" s="482"/>
      <c r="DH60" s="482"/>
      <c r="DI60" s="482"/>
      <c r="DJ60" s="482"/>
      <c r="DK60" s="482"/>
      <c r="DL60" s="482"/>
      <c r="DM60" s="482"/>
      <c r="DN60" s="482"/>
      <c r="DO60" s="482"/>
      <c r="DP60" s="482"/>
      <c r="DQ60" s="482"/>
      <c r="DR60" s="482"/>
      <c r="DS60" s="482"/>
      <c r="DT60" s="482"/>
      <c r="DU60" s="482"/>
      <c r="DV60" s="482"/>
      <c r="DW60" s="482"/>
      <c r="DX60" s="482"/>
      <c r="DY60" s="482"/>
      <c r="DZ60" s="482"/>
      <c r="EA60" s="482"/>
      <c r="EB60" s="482"/>
      <c r="EC60" s="482"/>
      <c r="ED60" s="482"/>
      <c r="EE60" s="482"/>
      <c r="EF60" s="482"/>
      <c r="EG60" s="482"/>
      <c r="EH60" s="482"/>
      <c r="EI60" s="482"/>
      <c r="EJ60" s="482"/>
      <c r="EK60" s="482"/>
      <c r="EL60" s="482"/>
      <c r="EM60" s="482"/>
      <c r="EN60" s="482"/>
      <c r="EO60" s="482"/>
      <c r="EP60" s="482"/>
      <c r="EQ60" s="482"/>
      <c r="ER60" s="482"/>
      <c r="ES60" s="482"/>
      <c r="ET60" s="482"/>
      <c r="EU60" s="482"/>
      <c r="EV60" s="482"/>
      <c r="EW60" s="482"/>
      <c r="EX60" s="482"/>
      <c r="EY60" s="482"/>
      <c r="EZ60" s="482"/>
      <c r="FA60" s="482"/>
      <c r="FB60" s="482"/>
      <c r="FC60" s="482"/>
      <c r="FD60" s="482"/>
      <c r="FE60" s="482"/>
      <c r="FF60" s="482"/>
      <c r="FG60" s="482"/>
      <c r="FH60" s="482"/>
      <c r="FI60" s="482"/>
      <c r="FJ60" s="482"/>
      <c r="FK60" s="482"/>
      <c r="FL60" s="482"/>
      <c r="FM60" s="482"/>
      <c r="FN60" s="482"/>
      <c r="FO60" s="482"/>
      <c r="FP60" s="482"/>
      <c r="FQ60" s="482"/>
      <c r="FR60" s="482"/>
      <c r="FS60" s="482"/>
      <c r="FT60" s="482"/>
      <c r="FU60" s="482"/>
      <c r="FV60" s="482"/>
      <c r="FW60" s="482"/>
      <c r="FX60" s="482"/>
      <c r="FY60" s="482"/>
      <c r="FZ60" s="482"/>
      <c r="GA60" s="482"/>
      <c r="GB60" s="482"/>
      <c r="GC60" s="482"/>
      <c r="GD60" s="482"/>
      <c r="GE60" s="482"/>
      <c r="GF60" s="482"/>
      <c r="GG60" s="482"/>
      <c r="GH60" s="482"/>
      <c r="GI60" s="482"/>
      <c r="GJ60" s="482"/>
      <c r="GK60" s="482"/>
      <c r="GL60" s="482"/>
      <c r="GM60" s="482"/>
      <c r="GN60" s="482"/>
      <c r="GO60" s="482"/>
      <c r="GP60" s="482"/>
      <c r="GQ60" s="482"/>
      <c r="GR60" s="482"/>
      <c r="GS60" s="482"/>
      <c r="GT60" s="482"/>
      <c r="GU60" s="482"/>
      <c r="GV60" s="482"/>
      <c r="GW60" s="482"/>
      <c r="GX60" s="482"/>
      <c r="GY60" s="482"/>
      <c r="GZ60" s="482"/>
      <c r="HA60" s="482"/>
      <c r="HB60" s="482"/>
      <c r="HC60" s="482"/>
      <c r="HD60" s="482"/>
      <c r="HE60" s="482"/>
      <c r="HF60" s="482"/>
      <c r="HG60" s="482"/>
      <c r="HH60" s="482"/>
      <c r="HI60" s="482"/>
      <c r="HJ60" s="482"/>
      <c r="HK60" s="482"/>
      <c r="HL60" s="482"/>
      <c r="HM60" s="482"/>
      <c r="HN60" s="482"/>
      <c r="HO60" s="482"/>
      <c r="HP60" s="482"/>
      <c r="HQ60" s="482"/>
      <c r="HR60" s="482"/>
      <c r="HS60" s="482"/>
      <c r="HT60" s="482"/>
      <c r="HU60" s="482"/>
      <c r="HV60" s="482"/>
      <c r="HW60" s="482"/>
      <c r="HX60" s="482"/>
      <c r="HY60" s="482"/>
      <c r="HZ60" s="482"/>
      <c r="IA60" s="482"/>
      <c r="IB60" s="482"/>
      <c r="IC60" s="482"/>
      <c r="ID60" s="482"/>
      <c r="IE60" s="482"/>
      <c r="IF60" s="482"/>
      <c r="IG60" s="482"/>
      <c r="IH60" s="482"/>
      <c r="II60" s="482"/>
      <c r="IJ60" s="482"/>
      <c r="IK60" s="482"/>
      <c r="IL60" s="482"/>
      <c r="IM60" s="482"/>
      <c r="IN60" s="482"/>
      <c r="IO60" s="482"/>
      <c r="IP60" s="482"/>
      <c r="IQ60" s="482"/>
      <c r="IR60" s="482"/>
    </row>
    <row r="61" spans="1:252" ht="18.75" customHeight="1">
      <c r="A61" s="652" t="s">
        <v>899</v>
      </c>
      <c r="B61" s="658" t="s">
        <v>930</v>
      </c>
      <c r="C61" s="498"/>
      <c r="D61" s="489"/>
      <c r="E61" s="490"/>
      <c r="F61" s="654">
        <f>F48+F49+F50+F51+F52+F53+F59+F60</f>
        <v>149157610</v>
      </c>
      <c r="G61" s="498"/>
      <c r="H61" s="489"/>
      <c r="I61" s="490"/>
      <c r="J61" s="654">
        <f aca="true" t="shared" si="5" ref="J61:O61">J48+J49+J50+J51+J52+J53+J59+J60</f>
        <v>142140748</v>
      </c>
      <c r="K61" s="654">
        <f t="shared" si="5"/>
        <v>142141</v>
      </c>
      <c r="L61" s="654">
        <f t="shared" si="5"/>
        <v>142141</v>
      </c>
      <c r="M61" s="654">
        <f t="shared" si="5"/>
        <v>142141</v>
      </c>
      <c r="N61" s="654">
        <f t="shared" si="5"/>
        <v>142141</v>
      </c>
      <c r="O61" s="654">
        <f t="shared" si="5"/>
        <v>145712</v>
      </c>
      <c r="P61" s="655">
        <v>145712</v>
      </c>
      <c r="Q61" s="482"/>
      <c r="R61" s="482"/>
      <c r="S61" s="482"/>
      <c r="T61" s="482"/>
      <c r="U61" s="482"/>
      <c r="V61" s="482"/>
      <c r="W61" s="482"/>
      <c r="X61" s="482"/>
      <c r="Y61" s="482"/>
      <c r="Z61" s="482"/>
      <c r="AA61" s="482"/>
      <c r="AB61" s="482"/>
      <c r="AC61" s="482"/>
      <c r="AD61" s="482"/>
      <c r="AE61" s="482"/>
      <c r="AF61" s="482"/>
      <c r="AG61" s="482"/>
      <c r="AH61" s="482"/>
      <c r="AI61" s="482"/>
      <c r="AJ61" s="482"/>
      <c r="AK61" s="482"/>
      <c r="AL61" s="482"/>
      <c r="AM61" s="482"/>
      <c r="AN61" s="482"/>
      <c r="AO61" s="482"/>
      <c r="AP61" s="482"/>
      <c r="AQ61" s="482"/>
      <c r="AR61" s="482"/>
      <c r="AS61" s="482"/>
      <c r="AT61" s="482"/>
      <c r="AU61" s="482"/>
      <c r="AV61" s="482"/>
      <c r="AW61" s="482"/>
      <c r="AX61" s="482"/>
      <c r="AY61" s="482"/>
      <c r="AZ61" s="482"/>
      <c r="BA61" s="482"/>
      <c r="BB61" s="482"/>
      <c r="BC61" s="482"/>
      <c r="BD61" s="482"/>
      <c r="BE61" s="482"/>
      <c r="BF61" s="482"/>
      <c r="BG61" s="482"/>
      <c r="BH61" s="482"/>
      <c r="BI61" s="482"/>
      <c r="BJ61" s="482"/>
      <c r="BK61" s="482"/>
      <c r="BL61" s="482"/>
      <c r="BM61" s="482"/>
      <c r="BN61" s="482"/>
      <c r="BO61" s="482"/>
      <c r="BP61" s="482"/>
      <c r="BQ61" s="482"/>
      <c r="BR61" s="482"/>
      <c r="BS61" s="482"/>
      <c r="BT61" s="482"/>
      <c r="BU61" s="482"/>
      <c r="BV61" s="482"/>
      <c r="BW61" s="482"/>
      <c r="BX61" s="482"/>
      <c r="BY61" s="482"/>
      <c r="BZ61" s="482"/>
      <c r="CA61" s="482"/>
      <c r="CB61" s="482"/>
      <c r="CC61" s="482"/>
      <c r="CD61" s="482"/>
      <c r="CE61" s="482"/>
      <c r="CF61" s="482"/>
      <c r="CG61" s="482"/>
      <c r="CH61" s="482"/>
      <c r="CI61" s="482"/>
      <c r="CJ61" s="482"/>
      <c r="CK61" s="482"/>
      <c r="CL61" s="482"/>
      <c r="CM61" s="482"/>
      <c r="CN61" s="482"/>
      <c r="CO61" s="482"/>
      <c r="CP61" s="482"/>
      <c r="CQ61" s="482"/>
      <c r="CR61" s="482"/>
      <c r="CS61" s="482"/>
      <c r="CT61" s="482"/>
      <c r="CU61" s="482"/>
      <c r="CV61" s="482"/>
      <c r="CW61" s="482"/>
      <c r="CX61" s="482"/>
      <c r="CY61" s="482"/>
      <c r="CZ61" s="482"/>
      <c r="DA61" s="482"/>
      <c r="DB61" s="482"/>
      <c r="DC61" s="482"/>
      <c r="DD61" s="482"/>
      <c r="DE61" s="482"/>
      <c r="DF61" s="482"/>
      <c r="DG61" s="482"/>
      <c r="DH61" s="482"/>
      <c r="DI61" s="482"/>
      <c r="DJ61" s="482"/>
      <c r="DK61" s="482"/>
      <c r="DL61" s="482"/>
      <c r="DM61" s="482"/>
      <c r="DN61" s="482"/>
      <c r="DO61" s="482"/>
      <c r="DP61" s="482"/>
      <c r="DQ61" s="482"/>
      <c r="DR61" s="482"/>
      <c r="DS61" s="482"/>
      <c r="DT61" s="482"/>
      <c r="DU61" s="482"/>
      <c r="DV61" s="482"/>
      <c r="DW61" s="482"/>
      <c r="DX61" s="482"/>
      <c r="DY61" s="482"/>
      <c r="DZ61" s="482"/>
      <c r="EA61" s="482"/>
      <c r="EB61" s="482"/>
      <c r="EC61" s="482"/>
      <c r="ED61" s="482"/>
      <c r="EE61" s="482"/>
      <c r="EF61" s="482"/>
      <c r="EG61" s="482"/>
      <c r="EH61" s="482"/>
      <c r="EI61" s="482"/>
      <c r="EJ61" s="482"/>
      <c r="EK61" s="482"/>
      <c r="EL61" s="482"/>
      <c r="EM61" s="482"/>
      <c r="EN61" s="482"/>
      <c r="EO61" s="482"/>
      <c r="EP61" s="482"/>
      <c r="EQ61" s="482"/>
      <c r="ER61" s="482"/>
      <c r="ES61" s="482"/>
      <c r="ET61" s="482"/>
      <c r="EU61" s="482"/>
      <c r="EV61" s="482"/>
      <c r="EW61" s="482"/>
      <c r="EX61" s="482"/>
      <c r="EY61" s="482"/>
      <c r="EZ61" s="482"/>
      <c r="FA61" s="482"/>
      <c r="FB61" s="482"/>
      <c r="FC61" s="482"/>
      <c r="FD61" s="482"/>
      <c r="FE61" s="482"/>
      <c r="FF61" s="482"/>
      <c r="FG61" s="482"/>
      <c r="FH61" s="482"/>
      <c r="FI61" s="482"/>
      <c r="FJ61" s="482"/>
      <c r="FK61" s="482"/>
      <c r="FL61" s="482"/>
      <c r="FM61" s="482"/>
      <c r="FN61" s="482"/>
      <c r="FO61" s="482"/>
      <c r="FP61" s="482"/>
      <c r="FQ61" s="482"/>
      <c r="FR61" s="482"/>
      <c r="FS61" s="482"/>
      <c r="FT61" s="482"/>
      <c r="FU61" s="482"/>
      <c r="FV61" s="482"/>
      <c r="FW61" s="482"/>
      <c r="FX61" s="482"/>
      <c r="FY61" s="482"/>
      <c r="FZ61" s="482"/>
      <c r="GA61" s="482"/>
      <c r="GB61" s="482"/>
      <c r="GC61" s="482"/>
      <c r="GD61" s="482"/>
      <c r="GE61" s="482"/>
      <c r="GF61" s="482"/>
      <c r="GG61" s="482"/>
      <c r="GH61" s="482"/>
      <c r="GI61" s="482"/>
      <c r="GJ61" s="482"/>
      <c r="GK61" s="482"/>
      <c r="GL61" s="482"/>
      <c r="GM61" s="482"/>
      <c r="GN61" s="482"/>
      <c r="GO61" s="482"/>
      <c r="GP61" s="482"/>
      <c r="GQ61" s="482"/>
      <c r="GR61" s="482"/>
      <c r="GS61" s="482"/>
      <c r="GT61" s="482"/>
      <c r="GU61" s="482"/>
      <c r="GV61" s="482"/>
      <c r="GW61" s="482"/>
      <c r="GX61" s="482"/>
      <c r="GY61" s="482"/>
      <c r="GZ61" s="482"/>
      <c r="HA61" s="482"/>
      <c r="HB61" s="482"/>
      <c r="HC61" s="482"/>
      <c r="HD61" s="482"/>
      <c r="HE61" s="482"/>
      <c r="HF61" s="482"/>
      <c r="HG61" s="482"/>
      <c r="HH61" s="482"/>
      <c r="HI61" s="482"/>
      <c r="HJ61" s="482"/>
      <c r="HK61" s="482"/>
      <c r="HL61" s="482"/>
      <c r="HM61" s="482"/>
      <c r="HN61" s="482"/>
      <c r="HO61" s="482"/>
      <c r="HP61" s="482"/>
      <c r="HQ61" s="482"/>
      <c r="HR61" s="482"/>
      <c r="HS61" s="482"/>
      <c r="HT61" s="482"/>
      <c r="HU61" s="482"/>
      <c r="HV61" s="482"/>
      <c r="HW61" s="482"/>
      <c r="HX61" s="482"/>
      <c r="HY61" s="482"/>
      <c r="HZ61" s="482"/>
      <c r="IA61" s="482"/>
      <c r="IB61" s="482"/>
      <c r="IC61" s="482"/>
      <c r="ID61" s="482"/>
      <c r="IE61" s="482"/>
      <c r="IF61" s="482"/>
      <c r="IG61" s="482"/>
      <c r="IH61" s="482"/>
      <c r="II61" s="482"/>
      <c r="IJ61" s="482"/>
      <c r="IK61" s="482"/>
      <c r="IL61" s="482"/>
      <c r="IM61" s="482"/>
      <c r="IN61" s="482"/>
      <c r="IO61" s="482"/>
      <c r="IP61" s="482"/>
      <c r="IQ61" s="482"/>
      <c r="IR61" s="482"/>
    </row>
    <row r="62" spans="1:252" ht="18" customHeight="1">
      <c r="A62" s="660" t="s">
        <v>931</v>
      </c>
      <c r="B62" s="658" t="s">
        <v>932</v>
      </c>
      <c r="C62" s="490">
        <v>42</v>
      </c>
      <c r="D62" s="489" t="s">
        <v>832</v>
      </c>
      <c r="E62" s="490">
        <v>2606040</v>
      </c>
      <c r="F62" s="654">
        <f>C62*E62</f>
        <v>109453680</v>
      </c>
      <c r="G62" s="490">
        <v>42</v>
      </c>
      <c r="H62" s="489" t="s">
        <v>832</v>
      </c>
      <c r="I62" s="490">
        <v>2606040</v>
      </c>
      <c r="J62" s="654">
        <f>G62*I62</f>
        <v>109453680</v>
      </c>
      <c r="K62" s="654">
        <v>109454</v>
      </c>
      <c r="L62" s="654">
        <v>109454</v>
      </c>
      <c r="M62" s="654">
        <v>109454</v>
      </c>
      <c r="N62" s="654">
        <v>109454</v>
      </c>
      <c r="O62" s="654">
        <v>109454</v>
      </c>
      <c r="P62" s="655">
        <v>109454</v>
      </c>
      <c r="Q62" s="482"/>
      <c r="R62" s="482"/>
      <c r="S62" s="482"/>
      <c r="T62" s="482"/>
      <c r="U62" s="482"/>
      <c r="V62" s="482"/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2"/>
      <c r="AM62" s="482"/>
      <c r="AN62" s="482"/>
      <c r="AO62" s="482"/>
      <c r="AP62" s="482"/>
      <c r="AQ62" s="482"/>
      <c r="AR62" s="482"/>
      <c r="AS62" s="482"/>
      <c r="AT62" s="482"/>
      <c r="AU62" s="482"/>
      <c r="AV62" s="482"/>
      <c r="AW62" s="482"/>
      <c r="AX62" s="482"/>
      <c r="AY62" s="482"/>
      <c r="AZ62" s="482"/>
      <c r="BA62" s="482"/>
      <c r="BB62" s="482"/>
      <c r="BC62" s="482"/>
      <c r="BD62" s="482"/>
      <c r="BE62" s="482"/>
      <c r="BF62" s="482"/>
      <c r="BG62" s="482"/>
      <c r="BH62" s="482"/>
      <c r="BI62" s="482"/>
      <c r="BJ62" s="482"/>
      <c r="BK62" s="482"/>
      <c r="BL62" s="482"/>
      <c r="BM62" s="482"/>
      <c r="BN62" s="482"/>
      <c r="BO62" s="482"/>
      <c r="BP62" s="482"/>
      <c r="BQ62" s="482"/>
      <c r="BR62" s="482"/>
      <c r="BS62" s="482"/>
      <c r="BT62" s="482"/>
      <c r="BU62" s="482"/>
      <c r="BV62" s="482"/>
      <c r="BW62" s="482"/>
      <c r="BX62" s="482"/>
      <c r="BY62" s="482"/>
      <c r="BZ62" s="482"/>
      <c r="CA62" s="482"/>
      <c r="CB62" s="482"/>
      <c r="CC62" s="482"/>
      <c r="CD62" s="482"/>
      <c r="CE62" s="482"/>
      <c r="CF62" s="482"/>
      <c r="CG62" s="482"/>
      <c r="CH62" s="482"/>
      <c r="CI62" s="482"/>
      <c r="CJ62" s="482"/>
      <c r="CK62" s="482"/>
      <c r="CL62" s="482"/>
      <c r="CM62" s="482"/>
      <c r="CN62" s="482"/>
      <c r="CO62" s="482"/>
      <c r="CP62" s="482"/>
      <c r="CQ62" s="482"/>
      <c r="CR62" s="482"/>
      <c r="CS62" s="482"/>
      <c r="CT62" s="482"/>
      <c r="CU62" s="482"/>
      <c r="CV62" s="482"/>
      <c r="CW62" s="482"/>
      <c r="CX62" s="482"/>
      <c r="CY62" s="482"/>
      <c r="CZ62" s="482"/>
      <c r="DA62" s="482"/>
      <c r="DB62" s="482"/>
      <c r="DC62" s="482"/>
      <c r="DD62" s="482"/>
      <c r="DE62" s="482"/>
      <c r="DF62" s="482"/>
      <c r="DG62" s="482"/>
      <c r="DH62" s="482"/>
      <c r="DI62" s="482"/>
      <c r="DJ62" s="482"/>
      <c r="DK62" s="482"/>
      <c r="DL62" s="482"/>
      <c r="DM62" s="482"/>
      <c r="DN62" s="482"/>
      <c r="DO62" s="482"/>
      <c r="DP62" s="482"/>
      <c r="DQ62" s="482"/>
      <c r="DR62" s="482"/>
      <c r="DS62" s="482"/>
      <c r="DT62" s="482"/>
      <c r="DU62" s="482"/>
      <c r="DV62" s="482"/>
      <c r="DW62" s="482"/>
      <c r="DX62" s="482"/>
      <c r="DY62" s="482"/>
      <c r="DZ62" s="482"/>
      <c r="EA62" s="482"/>
      <c r="EB62" s="482"/>
      <c r="EC62" s="482"/>
      <c r="ED62" s="482"/>
      <c r="EE62" s="482"/>
      <c r="EF62" s="482"/>
      <c r="EG62" s="482"/>
      <c r="EH62" s="482"/>
      <c r="EI62" s="482"/>
      <c r="EJ62" s="482"/>
      <c r="EK62" s="482"/>
      <c r="EL62" s="482"/>
      <c r="EM62" s="482"/>
      <c r="EN62" s="482"/>
      <c r="EO62" s="482"/>
      <c r="EP62" s="482"/>
      <c r="EQ62" s="482"/>
      <c r="ER62" s="482"/>
      <c r="ES62" s="482"/>
      <c r="ET62" s="482"/>
      <c r="EU62" s="482"/>
      <c r="EV62" s="482"/>
      <c r="EW62" s="482"/>
      <c r="EX62" s="482"/>
      <c r="EY62" s="482"/>
      <c r="EZ62" s="482"/>
      <c r="FA62" s="482"/>
      <c r="FB62" s="482"/>
      <c r="FC62" s="482"/>
      <c r="FD62" s="482"/>
      <c r="FE62" s="482"/>
      <c r="FF62" s="482"/>
      <c r="FG62" s="482"/>
      <c r="FH62" s="482"/>
      <c r="FI62" s="482"/>
      <c r="FJ62" s="482"/>
      <c r="FK62" s="482"/>
      <c r="FL62" s="482"/>
      <c r="FM62" s="482"/>
      <c r="FN62" s="482"/>
      <c r="FO62" s="482"/>
      <c r="FP62" s="482"/>
      <c r="FQ62" s="482"/>
      <c r="FR62" s="482"/>
      <c r="FS62" s="482"/>
      <c r="FT62" s="482"/>
      <c r="FU62" s="482"/>
      <c r="FV62" s="482"/>
      <c r="FW62" s="482"/>
      <c r="FX62" s="482"/>
      <c r="FY62" s="482"/>
      <c r="FZ62" s="482"/>
      <c r="GA62" s="482"/>
      <c r="GB62" s="482"/>
      <c r="GC62" s="482"/>
      <c r="GD62" s="482"/>
      <c r="GE62" s="482"/>
      <c r="GF62" s="482"/>
      <c r="GG62" s="482"/>
      <c r="GH62" s="482"/>
      <c r="GI62" s="482"/>
      <c r="GJ62" s="482"/>
      <c r="GK62" s="482"/>
      <c r="GL62" s="482"/>
      <c r="GM62" s="482"/>
      <c r="GN62" s="482"/>
      <c r="GO62" s="482"/>
      <c r="GP62" s="482"/>
      <c r="GQ62" s="482"/>
      <c r="GR62" s="482"/>
      <c r="GS62" s="482"/>
      <c r="GT62" s="482"/>
      <c r="GU62" s="482"/>
      <c r="GV62" s="482"/>
      <c r="GW62" s="482"/>
      <c r="GX62" s="482"/>
      <c r="GY62" s="482"/>
      <c r="GZ62" s="482"/>
      <c r="HA62" s="482"/>
      <c r="HB62" s="482"/>
      <c r="HC62" s="482"/>
      <c r="HD62" s="482"/>
      <c r="HE62" s="482"/>
      <c r="HF62" s="482"/>
      <c r="HG62" s="482"/>
      <c r="HH62" s="482"/>
      <c r="HI62" s="482"/>
      <c r="HJ62" s="482"/>
      <c r="HK62" s="482"/>
      <c r="HL62" s="482"/>
      <c r="HM62" s="482"/>
      <c r="HN62" s="482"/>
      <c r="HO62" s="482"/>
      <c r="HP62" s="482"/>
      <c r="HQ62" s="482"/>
      <c r="HR62" s="482"/>
      <c r="HS62" s="482"/>
      <c r="HT62" s="482"/>
      <c r="HU62" s="482"/>
      <c r="HV62" s="482"/>
      <c r="HW62" s="482"/>
      <c r="HX62" s="482"/>
      <c r="HY62" s="482"/>
      <c r="HZ62" s="482"/>
      <c r="IA62" s="482"/>
      <c r="IB62" s="482"/>
      <c r="IC62" s="482"/>
      <c r="ID62" s="482"/>
      <c r="IE62" s="482"/>
      <c r="IF62" s="482"/>
      <c r="IG62" s="482"/>
      <c r="IH62" s="482"/>
      <c r="II62" s="482"/>
      <c r="IJ62" s="482"/>
      <c r="IK62" s="482"/>
      <c r="IL62" s="482"/>
      <c r="IM62" s="482"/>
      <c r="IN62" s="482"/>
      <c r="IO62" s="482"/>
      <c r="IP62" s="482"/>
      <c r="IQ62" s="482"/>
      <c r="IR62" s="482"/>
    </row>
    <row r="63" spans="1:252" ht="18" customHeight="1">
      <c r="A63" s="660" t="s">
        <v>931</v>
      </c>
      <c r="B63" s="658" t="s">
        <v>933</v>
      </c>
      <c r="C63" s="490"/>
      <c r="D63" s="489"/>
      <c r="E63" s="491"/>
      <c r="F63" s="654">
        <v>47306000</v>
      </c>
      <c r="G63" s="661"/>
      <c r="H63" s="489"/>
      <c r="I63" s="491"/>
      <c r="J63" s="654">
        <v>50179000</v>
      </c>
      <c r="K63" s="654">
        <v>50179</v>
      </c>
      <c r="L63" s="654">
        <v>50179</v>
      </c>
      <c r="M63" s="654">
        <v>50179</v>
      </c>
      <c r="N63" s="654">
        <v>50179</v>
      </c>
      <c r="O63" s="654">
        <v>50179</v>
      </c>
      <c r="P63" s="655">
        <v>50179</v>
      </c>
      <c r="Q63" s="482"/>
      <c r="R63" s="482"/>
      <c r="S63" s="482"/>
      <c r="T63" s="482"/>
      <c r="U63" s="482"/>
      <c r="V63" s="482"/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  <c r="AJ63" s="482"/>
      <c r="AK63" s="482"/>
      <c r="AL63" s="482"/>
      <c r="AM63" s="482"/>
      <c r="AN63" s="482"/>
      <c r="AO63" s="482"/>
      <c r="AP63" s="482"/>
      <c r="AQ63" s="482"/>
      <c r="AR63" s="482"/>
      <c r="AS63" s="482"/>
      <c r="AT63" s="482"/>
      <c r="AU63" s="482"/>
      <c r="AV63" s="482"/>
      <c r="AW63" s="482"/>
      <c r="AX63" s="482"/>
      <c r="AY63" s="482"/>
      <c r="AZ63" s="482"/>
      <c r="BA63" s="482"/>
      <c r="BB63" s="482"/>
      <c r="BC63" s="482"/>
      <c r="BD63" s="482"/>
      <c r="BE63" s="482"/>
      <c r="BF63" s="482"/>
      <c r="BG63" s="482"/>
      <c r="BH63" s="482"/>
      <c r="BI63" s="482"/>
      <c r="BJ63" s="482"/>
      <c r="BK63" s="482"/>
      <c r="BL63" s="482"/>
      <c r="BM63" s="482"/>
      <c r="BN63" s="482"/>
      <c r="BO63" s="482"/>
      <c r="BP63" s="482"/>
      <c r="BQ63" s="482"/>
      <c r="BR63" s="482"/>
      <c r="BS63" s="482"/>
      <c r="BT63" s="482"/>
      <c r="BU63" s="482"/>
      <c r="BV63" s="482"/>
      <c r="BW63" s="482"/>
      <c r="BX63" s="482"/>
      <c r="BY63" s="482"/>
      <c r="BZ63" s="482"/>
      <c r="CA63" s="482"/>
      <c r="CB63" s="482"/>
      <c r="CC63" s="482"/>
      <c r="CD63" s="482"/>
      <c r="CE63" s="482"/>
      <c r="CF63" s="482"/>
      <c r="CG63" s="482"/>
      <c r="CH63" s="482"/>
      <c r="CI63" s="482"/>
      <c r="CJ63" s="482"/>
      <c r="CK63" s="482"/>
      <c r="CL63" s="482"/>
      <c r="CM63" s="482"/>
      <c r="CN63" s="482"/>
      <c r="CO63" s="482"/>
      <c r="CP63" s="482"/>
      <c r="CQ63" s="482"/>
      <c r="CR63" s="482"/>
      <c r="CS63" s="482"/>
      <c r="CT63" s="482"/>
      <c r="CU63" s="482"/>
      <c r="CV63" s="482"/>
      <c r="CW63" s="482"/>
      <c r="CX63" s="482"/>
      <c r="CY63" s="482"/>
      <c r="CZ63" s="482"/>
      <c r="DA63" s="482"/>
      <c r="DB63" s="482"/>
      <c r="DC63" s="482"/>
      <c r="DD63" s="482"/>
      <c r="DE63" s="482"/>
      <c r="DF63" s="482"/>
      <c r="DG63" s="482"/>
      <c r="DH63" s="482"/>
      <c r="DI63" s="482"/>
      <c r="DJ63" s="482"/>
      <c r="DK63" s="482"/>
      <c r="DL63" s="482"/>
      <c r="DM63" s="482"/>
      <c r="DN63" s="482"/>
      <c r="DO63" s="482"/>
      <c r="DP63" s="482"/>
      <c r="DQ63" s="482"/>
      <c r="DR63" s="482"/>
      <c r="DS63" s="482"/>
      <c r="DT63" s="482"/>
      <c r="DU63" s="482"/>
      <c r="DV63" s="482"/>
      <c r="DW63" s="482"/>
      <c r="DX63" s="482"/>
      <c r="DY63" s="482"/>
      <c r="DZ63" s="482"/>
      <c r="EA63" s="482"/>
      <c r="EB63" s="482"/>
      <c r="EC63" s="482"/>
      <c r="ED63" s="482"/>
      <c r="EE63" s="482"/>
      <c r="EF63" s="482"/>
      <c r="EG63" s="482"/>
      <c r="EH63" s="482"/>
      <c r="EI63" s="482"/>
      <c r="EJ63" s="482"/>
      <c r="EK63" s="482"/>
      <c r="EL63" s="482"/>
      <c r="EM63" s="482"/>
      <c r="EN63" s="482"/>
      <c r="EO63" s="482"/>
      <c r="EP63" s="482"/>
      <c r="EQ63" s="482"/>
      <c r="ER63" s="482"/>
      <c r="ES63" s="482"/>
      <c r="ET63" s="482"/>
      <c r="EU63" s="482"/>
      <c r="EV63" s="482"/>
      <c r="EW63" s="482"/>
      <c r="EX63" s="482"/>
      <c r="EY63" s="482"/>
      <c r="EZ63" s="482"/>
      <c r="FA63" s="482"/>
      <c r="FB63" s="482"/>
      <c r="FC63" s="482"/>
      <c r="FD63" s="482"/>
      <c r="FE63" s="482"/>
      <c r="FF63" s="482"/>
      <c r="FG63" s="482"/>
      <c r="FH63" s="482"/>
      <c r="FI63" s="482"/>
      <c r="FJ63" s="482"/>
      <c r="FK63" s="482"/>
      <c r="FL63" s="482"/>
      <c r="FM63" s="482"/>
      <c r="FN63" s="482"/>
      <c r="FO63" s="482"/>
      <c r="FP63" s="482"/>
      <c r="FQ63" s="482"/>
      <c r="FR63" s="482"/>
      <c r="FS63" s="482"/>
      <c r="FT63" s="482"/>
      <c r="FU63" s="482"/>
      <c r="FV63" s="482"/>
      <c r="FW63" s="482"/>
      <c r="FX63" s="482"/>
      <c r="FY63" s="482"/>
      <c r="FZ63" s="482"/>
      <c r="GA63" s="482"/>
      <c r="GB63" s="482"/>
      <c r="GC63" s="482"/>
      <c r="GD63" s="482"/>
      <c r="GE63" s="482"/>
      <c r="GF63" s="482"/>
      <c r="GG63" s="482"/>
      <c r="GH63" s="482"/>
      <c r="GI63" s="482"/>
      <c r="GJ63" s="482"/>
      <c r="GK63" s="482"/>
      <c r="GL63" s="482"/>
      <c r="GM63" s="482"/>
      <c r="GN63" s="482"/>
      <c r="GO63" s="482"/>
      <c r="GP63" s="482"/>
      <c r="GQ63" s="482"/>
      <c r="GR63" s="482"/>
      <c r="GS63" s="482"/>
      <c r="GT63" s="482"/>
      <c r="GU63" s="482"/>
      <c r="GV63" s="482"/>
      <c r="GW63" s="482"/>
      <c r="GX63" s="482"/>
      <c r="GY63" s="482"/>
      <c r="GZ63" s="482"/>
      <c r="HA63" s="482"/>
      <c r="HB63" s="482"/>
      <c r="HC63" s="482"/>
      <c r="HD63" s="482"/>
      <c r="HE63" s="482"/>
      <c r="HF63" s="482"/>
      <c r="HG63" s="482"/>
      <c r="HH63" s="482"/>
      <c r="HI63" s="482"/>
      <c r="HJ63" s="482"/>
      <c r="HK63" s="482"/>
      <c r="HL63" s="482"/>
      <c r="HM63" s="482"/>
      <c r="HN63" s="482"/>
      <c r="HO63" s="482"/>
      <c r="HP63" s="482"/>
      <c r="HQ63" s="482"/>
      <c r="HR63" s="482"/>
      <c r="HS63" s="482"/>
      <c r="HT63" s="482"/>
      <c r="HU63" s="482"/>
      <c r="HV63" s="482"/>
      <c r="HW63" s="482"/>
      <c r="HX63" s="482"/>
      <c r="HY63" s="482"/>
      <c r="HZ63" s="482"/>
      <c r="IA63" s="482"/>
      <c r="IB63" s="482"/>
      <c r="IC63" s="482"/>
      <c r="ID63" s="482"/>
      <c r="IE63" s="482"/>
      <c r="IF63" s="482"/>
      <c r="IG63" s="482"/>
      <c r="IH63" s="482"/>
      <c r="II63" s="482"/>
      <c r="IJ63" s="482"/>
      <c r="IK63" s="482"/>
      <c r="IL63" s="482"/>
      <c r="IM63" s="482"/>
      <c r="IN63" s="482"/>
      <c r="IO63" s="482"/>
      <c r="IP63" s="482"/>
      <c r="IQ63" s="482"/>
      <c r="IR63" s="482"/>
    </row>
    <row r="64" spans="1:252" ht="18" customHeight="1">
      <c r="A64" s="652" t="s">
        <v>934</v>
      </c>
      <c r="B64" s="658" t="s">
        <v>935</v>
      </c>
      <c r="C64" s="490"/>
      <c r="D64" s="489"/>
      <c r="E64" s="491"/>
      <c r="F64" s="654">
        <f>SUM(F62:F63)</f>
        <v>156759680</v>
      </c>
      <c r="G64" s="490"/>
      <c r="H64" s="489"/>
      <c r="I64" s="491"/>
      <c r="J64" s="654">
        <f aca="true" t="shared" si="6" ref="J64:P64">SUM(J62:J63)</f>
        <v>159632680</v>
      </c>
      <c r="K64" s="654">
        <f t="shared" si="6"/>
        <v>159633</v>
      </c>
      <c r="L64" s="654">
        <f t="shared" si="6"/>
        <v>159633</v>
      </c>
      <c r="M64" s="654">
        <f t="shared" si="6"/>
        <v>159633</v>
      </c>
      <c r="N64" s="654">
        <f t="shared" si="6"/>
        <v>159633</v>
      </c>
      <c r="O64" s="654">
        <f t="shared" si="6"/>
        <v>159633</v>
      </c>
      <c r="P64" s="655">
        <f t="shared" si="6"/>
        <v>159633</v>
      </c>
      <c r="Q64" s="482"/>
      <c r="R64" s="482"/>
      <c r="S64" s="482"/>
      <c r="T64" s="482"/>
      <c r="U64" s="482"/>
      <c r="V64" s="482"/>
      <c r="W64" s="482"/>
      <c r="X64" s="482"/>
      <c r="Y64" s="482"/>
      <c r="Z64" s="482"/>
      <c r="AA64" s="482"/>
      <c r="AB64" s="482"/>
      <c r="AC64" s="482"/>
      <c r="AD64" s="482"/>
      <c r="AE64" s="482"/>
      <c r="AF64" s="482"/>
      <c r="AG64" s="482"/>
      <c r="AH64" s="482"/>
      <c r="AI64" s="482"/>
      <c r="AJ64" s="482"/>
      <c r="AK64" s="482"/>
      <c r="AL64" s="482"/>
      <c r="AM64" s="482"/>
      <c r="AN64" s="482"/>
      <c r="AO64" s="482"/>
      <c r="AP64" s="482"/>
      <c r="AQ64" s="482"/>
      <c r="AR64" s="482"/>
      <c r="AS64" s="482"/>
      <c r="AT64" s="482"/>
      <c r="AU64" s="482"/>
      <c r="AV64" s="482"/>
      <c r="AW64" s="482"/>
      <c r="AX64" s="482"/>
      <c r="AY64" s="482"/>
      <c r="AZ64" s="482"/>
      <c r="BA64" s="482"/>
      <c r="BB64" s="482"/>
      <c r="BC64" s="482"/>
      <c r="BD64" s="482"/>
      <c r="BE64" s="482"/>
      <c r="BF64" s="482"/>
      <c r="BG64" s="482"/>
      <c r="BH64" s="482"/>
      <c r="BI64" s="482"/>
      <c r="BJ64" s="482"/>
      <c r="BK64" s="482"/>
      <c r="BL64" s="482"/>
      <c r="BM64" s="482"/>
      <c r="BN64" s="482"/>
      <c r="BO64" s="482"/>
      <c r="BP64" s="482"/>
      <c r="BQ64" s="482"/>
      <c r="BR64" s="482"/>
      <c r="BS64" s="482"/>
      <c r="BT64" s="482"/>
      <c r="BU64" s="482"/>
      <c r="BV64" s="482"/>
      <c r="BW64" s="482"/>
      <c r="BX64" s="482"/>
      <c r="BY64" s="482"/>
      <c r="BZ64" s="482"/>
      <c r="CA64" s="482"/>
      <c r="CB64" s="482"/>
      <c r="CC64" s="482"/>
      <c r="CD64" s="482"/>
      <c r="CE64" s="482"/>
      <c r="CF64" s="482"/>
      <c r="CG64" s="482"/>
      <c r="CH64" s="482"/>
      <c r="CI64" s="482"/>
      <c r="CJ64" s="482"/>
      <c r="CK64" s="482"/>
      <c r="CL64" s="482"/>
      <c r="CM64" s="482"/>
      <c r="CN64" s="482"/>
      <c r="CO64" s="482"/>
      <c r="CP64" s="482"/>
      <c r="CQ64" s="482"/>
      <c r="CR64" s="482"/>
      <c r="CS64" s="482"/>
      <c r="CT64" s="482"/>
      <c r="CU64" s="482"/>
      <c r="CV64" s="482"/>
      <c r="CW64" s="482"/>
      <c r="CX64" s="482"/>
      <c r="CY64" s="482"/>
      <c r="CZ64" s="482"/>
      <c r="DA64" s="482"/>
      <c r="DB64" s="482"/>
      <c r="DC64" s="482"/>
      <c r="DD64" s="482"/>
      <c r="DE64" s="482"/>
      <c r="DF64" s="482"/>
      <c r="DG64" s="482"/>
      <c r="DH64" s="482"/>
      <c r="DI64" s="482"/>
      <c r="DJ64" s="482"/>
      <c r="DK64" s="482"/>
      <c r="DL64" s="482"/>
      <c r="DM64" s="482"/>
      <c r="DN64" s="482"/>
      <c r="DO64" s="482"/>
      <c r="DP64" s="482"/>
      <c r="DQ64" s="482"/>
      <c r="DR64" s="482"/>
      <c r="DS64" s="482"/>
      <c r="DT64" s="482"/>
      <c r="DU64" s="482"/>
      <c r="DV64" s="482"/>
      <c r="DW64" s="482"/>
      <c r="DX64" s="482"/>
      <c r="DY64" s="482"/>
      <c r="DZ64" s="482"/>
      <c r="EA64" s="482"/>
      <c r="EB64" s="482"/>
      <c r="EC64" s="482"/>
      <c r="ED64" s="482"/>
      <c r="EE64" s="482"/>
      <c r="EF64" s="482"/>
      <c r="EG64" s="482"/>
      <c r="EH64" s="482"/>
      <c r="EI64" s="482"/>
      <c r="EJ64" s="482"/>
      <c r="EK64" s="482"/>
      <c r="EL64" s="482"/>
      <c r="EM64" s="482"/>
      <c r="EN64" s="482"/>
      <c r="EO64" s="482"/>
      <c r="EP64" s="482"/>
      <c r="EQ64" s="482"/>
      <c r="ER64" s="482"/>
      <c r="ES64" s="482"/>
      <c r="ET64" s="482"/>
      <c r="EU64" s="482"/>
      <c r="EV64" s="482"/>
      <c r="EW64" s="482"/>
      <c r="EX64" s="482"/>
      <c r="EY64" s="482"/>
      <c r="EZ64" s="482"/>
      <c r="FA64" s="482"/>
      <c r="FB64" s="482"/>
      <c r="FC64" s="482"/>
      <c r="FD64" s="482"/>
      <c r="FE64" s="482"/>
      <c r="FF64" s="482"/>
      <c r="FG64" s="482"/>
      <c r="FH64" s="482"/>
      <c r="FI64" s="482"/>
      <c r="FJ64" s="482"/>
      <c r="FK64" s="482"/>
      <c r="FL64" s="482"/>
      <c r="FM64" s="482"/>
      <c r="FN64" s="482"/>
      <c r="FO64" s="482"/>
      <c r="FP64" s="482"/>
      <c r="FQ64" s="482"/>
      <c r="FR64" s="482"/>
      <c r="FS64" s="482"/>
      <c r="FT64" s="482"/>
      <c r="FU64" s="482"/>
      <c r="FV64" s="482"/>
      <c r="FW64" s="482"/>
      <c r="FX64" s="482"/>
      <c r="FY64" s="482"/>
      <c r="FZ64" s="482"/>
      <c r="GA64" s="482"/>
      <c r="GB64" s="482"/>
      <c r="GC64" s="482"/>
      <c r="GD64" s="482"/>
      <c r="GE64" s="482"/>
      <c r="GF64" s="482"/>
      <c r="GG64" s="482"/>
      <c r="GH64" s="482"/>
      <c r="GI64" s="482"/>
      <c r="GJ64" s="482"/>
      <c r="GK64" s="482"/>
      <c r="GL64" s="482"/>
      <c r="GM64" s="482"/>
      <c r="GN64" s="482"/>
      <c r="GO64" s="482"/>
      <c r="GP64" s="482"/>
      <c r="GQ64" s="482"/>
      <c r="GR64" s="482"/>
      <c r="GS64" s="482"/>
      <c r="GT64" s="482"/>
      <c r="GU64" s="482"/>
      <c r="GV64" s="482"/>
      <c r="GW64" s="482"/>
      <c r="GX64" s="482"/>
      <c r="GY64" s="482"/>
      <c r="GZ64" s="482"/>
      <c r="HA64" s="482"/>
      <c r="HB64" s="482"/>
      <c r="HC64" s="482"/>
      <c r="HD64" s="482"/>
      <c r="HE64" s="482"/>
      <c r="HF64" s="482"/>
      <c r="HG64" s="482"/>
      <c r="HH64" s="482"/>
      <c r="HI64" s="482"/>
      <c r="HJ64" s="482"/>
      <c r="HK64" s="482"/>
      <c r="HL64" s="482"/>
      <c r="HM64" s="482"/>
      <c r="HN64" s="482"/>
      <c r="HO64" s="482"/>
      <c r="HP64" s="482"/>
      <c r="HQ64" s="482"/>
      <c r="HR64" s="482"/>
      <c r="HS64" s="482"/>
      <c r="HT64" s="482"/>
      <c r="HU64" s="482"/>
      <c r="HV64" s="482"/>
      <c r="HW64" s="482"/>
      <c r="HX64" s="482"/>
      <c r="HY64" s="482"/>
      <c r="HZ64" s="482"/>
      <c r="IA64" s="482"/>
      <c r="IB64" s="482"/>
      <c r="IC64" s="482"/>
      <c r="ID64" s="482"/>
      <c r="IE64" s="482"/>
      <c r="IF64" s="482"/>
      <c r="IG64" s="482"/>
      <c r="IH64" s="482"/>
      <c r="II64" s="482"/>
      <c r="IJ64" s="482"/>
      <c r="IK64" s="482"/>
      <c r="IL64" s="482"/>
      <c r="IM64" s="482"/>
      <c r="IN64" s="482"/>
      <c r="IO64" s="482"/>
      <c r="IP64" s="482"/>
      <c r="IQ64" s="482"/>
      <c r="IR64" s="482"/>
    </row>
    <row r="65" spans="1:252" ht="16.5" customHeight="1">
      <c r="A65" s="640" t="s">
        <v>936</v>
      </c>
      <c r="B65" s="641" t="s">
        <v>937</v>
      </c>
      <c r="C65" s="498"/>
      <c r="D65" s="489"/>
      <c r="E65" s="490"/>
      <c r="F65" s="642"/>
      <c r="G65" s="498"/>
      <c r="H65" s="489"/>
      <c r="I65" s="490"/>
      <c r="J65" s="642"/>
      <c r="K65" s="642"/>
      <c r="L65" s="642"/>
      <c r="M65" s="642"/>
      <c r="N65" s="642"/>
      <c r="O65" s="642"/>
      <c r="P65" s="643"/>
      <c r="Q65" s="482"/>
      <c r="R65" s="482"/>
      <c r="S65" s="482"/>
      <c r="T65" s="482"/>
      <c r="U65" s="482"/>
      <c r="V65" s="482"/>
      <c r="W65" s="482"/>
      <c r="X65" s="482"/>
      <c r="Y65" s="482"/>
      <c r="Z65" s="482"/>
      <c r="AA65" s="482"/>
      <c r="AB65" s="482"/>
      <c r="AC65" s="482"/>
      <c r="AD65" s="482"/>
      <c r="AE65" s="482"/>
      <c r="AF65" s="482"/>
      <c r="AG65" s="482"/>
      <c r="AH65" s="482"/>
      <c r="AI65" s="482"/>
      <c r="AJ65" s="482"/>
      <c r="AK65" s="482"/>
      <c r="AL65" s="482"/>
      <c r="AM65" s="482"/>
      <c r="AN65" s="482"/>
      <c r="AO65" s="482"/>
      <c r="AP65" s="482"/>
      <c r="AQ65" s="482"/>
      <c r="AR65" s="482"/>
      <c r="AS65" s="482"/>
      <c r="AT65" s="482"/>
      <c r="AU65" s="482"/>
      <c r="AV65" s="482"/>
      <c r="AW65" s="482"/>
      <c r="AX65" s="482"/>
      <c r="AY65" s="482"/>
      <c r="AZ65" s="482"/>
      <c r="BA65" s="482"/>
      <c r="BB65" s="482"/>
      <c r="BC65" s="482"/>
      <c r="BD65" s="482"/>
      <c r="BE65" s="482"/>
      <c r="BF65" s="482"/>
      <c r="BG65" s="482"/>
      <c r="BH65" s="482"/>
      <c r="BI65" s="482"/>
      <c r="BJ65" s="482"/>
      <c r="BK65" s="482"/>
      <c r="BL65" s="482"/>
      <c r="BM65" s="482"/>
      <c r="BN65" s="482"/>
      <c r="BO65" s="482"/>
      <c r="BP65" s="482"/>
      <c r="BQ65" s="482"/>
      <c r="BR65" s="482"/>
      <c r="BS65" s="482"/>
      <c r="BT65" s="482"/>
      <c r="BU65" s="482"/>
      <c r="BV65" s="482"/>
      <c r="BW65" s="482"/>
      <c r="BX65" s="482"/>
      <c r="BY65" s="482"/>
      <c r="BZ65" s="482"/>
      <c r="CA65" s="482"/>
      <c r="CB65" s="482"/>
      <c r="CC65" s="482"/>
      <c r="CD65" s="482"/>
      <c r="CE65" s="482"/>
      <c r="CF65" s="482"/>
      <c r="CG65" s="482"/>
      <c r="CH65" s="482"/>
      <c r="CI65" s="482"/>
      <c r="CJ65" s="482"/>
      <c r="CK65" s="482"/>
      <c r="CL65" s="482"/>
      <c r="CM65" s="482"/>
      <c r="CN65" s="482"/>
      <c r="CO65" s="482"/>
      <c r="CP65" s="482"/>
      <c r="CQ65" s="482"/>
      <c r="CR65" s="482"/>
      <c r="CS65" s="482"/>
      <c r="CT65" s="482"/>
      <c r="CU65" s="482"/>
      <c r="CV65" s="482"/>
      <c r="CW65" s="482"/>
      <c r="CX65" s="482"/>
      <c r="CY65" s="482"/>
      <c r="CZ65" s="482"/>
      <c r="DA65" s="482"/>
      <c r="DB65" s="482"/>
      <c r="DC65" s="482"/>
      <c r="DD65" s="482"/>
      <c r="DE65" s="482"/>
      <c r="DF65" s="482"/>
      <c r="DG65" s="482"/>
      <c r="DH65" s="482"/>
      <c r="DI65" s="482"/>
      <c r="DJ65" s="482"/>
      <c r="DK65" s="482"/>
      <c r="DL65" s="482"/>
      <c r="DM65" s="482"/>
      <c r="DN65" s="482"/>
      <c r="DO65" s="482"/>
      <c r="DP65" s="482"/>
      <c r="DQ65" s="482"/>
      <c r="DR65" s="482"/>
      <c r="DS65" s="482"/>
      <c r="DT65" s="482"/>
      <c r="DU65" s="482"/>
      <c r="DV65" s="482"/>
      <c r="DW65" s="482"/>
      <c r="DX65" s="482"/>
      <c r="DY65" s="482"/>
      <c r="DZ65" s="482"/>
      <c r="EA65" s="482"/>
      <c r="EB65" s="482"/>
      <c r="EC65" s="482"/>
      <c r="ED65" s="482"/>
      <c r="EE65" s="482"/>
      <c r="EF65" s="482"/>
      <c r="EG65" s="482"/>
      <c r="EH65" s="482"/>
      <c r="EI65" s="482"/>
      <c r="EJ65" s="482"/>
      <c r="EK65" s="482"/>
      <c r="EL65" s="482"/>
      <c r="EM65" s="482"/>
      <c r="EN65" s="482"/>
      <c r="EO65" s="482"/>
      <c r="EP65" s="482"/>
      <c r="EQ65" s="482"/>
      <c r="ER65" s="482"/>
      <c r="ES65" s="482"/>
      <c r="ET65" s="482"/>
      <c r="EU65" s="482"/>
      <c r="EV65" s="482"/>
      <c r="EW65" s="482"/>
      <c r="EX65" s="482"/>
      <c r="EY65" s="482"/>
      <c r="EZ65" s="482"/>
      <c r="FA65" s="482"/>
      <c r="FB65" s="482"/>
      <c r="FC65" s="482"/>
      <c r="FD65" s="482"/>
      <c r="FE65" s="482"/>
      <c r="FF65" s="482"/>
      <c r="FG65" s="482"/>
      <c r="FH65" s="482"/>
      <c r="FI65" s="482"/>
      <c r="FJ65" s="482"/>
      <c r="FK65" s="482"/>
      <c r="FL65" s="482"/>
      <c r="FM65" s="482"/>
      <c r="FN65" s="482"/>
      <c r="FO65" s="482"/>
      <c r="FP65" s="482"/>
      <c r="FQ65" s="482"/>
      <c r="FR65" s="482"/>
      <c r="FS65" s="482"/>
      <c r="FT65" s="482"/>
      <c r="FU65" s="482"/>
      <c r="FV65" s="482"/>
      <c r="FW65" s="482"/>
      <c r="FX65" s="482"/>
      <c r="FY65" s="482"/>
      <c r="FZ65" s="482"/>
      <c r="GA65" s="482"/>
      <c r="GB65" s="482"/>
      <c r="GC65" s="482"/>
      <c r="GD65" s="482"/>
      <c r="GE65" s="482"/>
      <c r="GF65" s="482"/>
      <c r="GG65" s="482"/>
      <c r="GH65" s="482"/>
      <c r="GI65" s="482"/>
      <c r="GJ65" s="482"/>
      <c r="GK65" s="482"/>
      <c r="GL65" s="482"/>
      <c r="GM65" s="482"/>
      <c r="GN65" s="482"/>
      <c r="GO65" s="482"/>
      <c r="GP65" s="482"/>
      <c r="GQ65" s="482"/>
      <c r="GR65" s="482"/>
      <c r="GS65" s="482"/>
      <c r="GT65" s="482"/>
      <c r="GU65" s="482"/>
      <c r="GV65" s="482"/>
      <c r="GW65" s="482"/>
      <c r="GX65" s="482"/>
      <c r="GY65" s="482"/>
      <c r="GZ65" s="482"/>
      <c r="HA65" s="482"/>
      <c r="HB65" s="482"/>
      <c r="HC65" s="482"/>
      <c r="HD65" s="482"/>
      <c r="HE65" s="482"/>
      <c r="HF65" s="482"/>
      <c r="HG65" s="482"/>
      <c r="HH65" s="482"/>
      <c r="HI65" s="482"/>
      <c r="HJ65" s="482"/>
      <c r="HK65" s="482"/>
      <c r="HL65" s="482"/>
      <c r="HM65" s="482"/>
      <c r="HN65" s="482"/>
      <c r="HO65" s="482"/>
      <c r="HP65" s="482"/>
      <c r="HQ65" s="482"/>
      <c r="HR65" s="482"/>
      <c r="HS65" s="482"/>
      <c r="HT65" s="482"/>
      <c r="HU65" s="482"/>
      <c r="HV65" s="482"/>
      <c r="HW65" s="482"/>
      <c r="HX65" s="482"/>
      <c r="HY65" s="482"/>
      <c r="HZ65" s="482"/>
      <c r="IA65" s="482"/>
      <c r="IB65" s="482"/>
      <c r="IC65" s="482"/>
      <c r="ID65" s="482"/>
      <c r="IE65" s="482"/>
      <c r="IF65" s="482"/>
      <c r="IG65" s="482"/>
      <c r="IH65" s="482"/>
      <c r="II65" s="482"/>
      <c r="IJ65" s="482"/>
      <c r="IK65" s="482"/>
      <c r="IL65" s="482"/>
      <c r="IM65" s="482"/>
      <c r="IN65" s="482"/>
      <c r="IO65" s="482"/>
      <c r="IP65" s="482"/>
      <c r="IQ65" s="482"/>
      <c r="IR65" s="482"/>
    </row>
    <row r="66" spans="1:252" ht="17.25" customHeight="1">
      <c r="A66" s="647" t="s">
        <v>938</v>
      </c>
      <c r="B66" s="656" t="s">
        <v>939</v>
      </c>
      <c r="C66" s="498">
        <v>43.22</v>
      </c>
      <c r="D66" s="489" t="s">
        <v>940</v>
      </c>
      <c r="E66" s="490">
        <v>1632000</v>
      </c>
      <c r="F66" s="490">
        <f>C66*E66</f>
        <v>70535040</v>
      </c>
      <c r="G66" s="498">
        <v>37.38</v>
      </c>
      <c r="H66" s="489" t="s">
        <v>940</v>
      </c>
      <c r="I66" s="490">
        <v>1632000</v>
      </c>
      <c r="J66" s="490">
        <f>G66*I66</f>
        <v>61004160.00000001</v>
      </c>
      <c r="K66" s="490">
        <v>61004</v>
      </c>
      <c r="L66" s="490">
        <v>61004</v>
      </c>
      <c r="M66" s="490">
        <f>61004+2269</f>
        <v>63273</v>
      </c>
      <c r="N66" s="490">
        <f>61004+2269</f>
        <v>63273</v>
      </c>
      <c r="O66" s="490">
        <v>64415</v>
      </c>
      <c r="P66" s="646">
        <v>64415</v>
      </c>
      <c r="Q66" s="482"/>
      <c r="R66" s="482"/>
      <c r="S66" s="482"/>
      <c r="T66" s="482"/>
      <c r="U66" s="482"/>
      <c r="V66" s="482"/>
      <c r="W66" s="482"/>
      <c r="X66" s="482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482"/>
      <c r="AK66" s="482"/>
      <c r="AL66" s="482"/>
      <c r="AM66" s="482"/>
      <c r="AN66" s="482"/>
      <c r="AO66" s="482"/>
      <c r="AP66" s="482"/>
      <c r="AQ66" s="482"/>
      <c r="AR66" s="482"/>
      <c r="AS66" s="482"/>
      <c r="AT66" s="482"/>
      <c r="AU66" s="482"/>
      <c r="AV66" s="482"/>
      <c r="AW66" s="482"/>
      <c r="AX66" s="482"/>
      <c r="AY66" s="482"/>
      <c r="AZ66" s="482"/>
      <c r="BA66" s="482"/>
      <c r="BB66" s="482"/>
      <c r="BC66" s="482"/>
      <c r="BD66" s="482"/>
      <c r="BE66" s="482"/>
      <c r="BF66" s="482"/>
      <c r="BG66" s="482"/>
      <c r="BH66" s="482"/>
      <c r="BI66" s="482"/>
      <c r="BJ66" s="482"/>
      <c r="BK66" s="482"/>
      <c r="BL66" s="482"/>
      <c r="BM66" s="482"/>
      <c r="BN66" s="482"/>
      <c r="BO66" s="482"/>
      <c r="BP66" s="482"/>
      <c r="BQ66" s="482"/>
      <c r="BR66" s="482"/>
      <c r="BS66" s="482"/>
      <c r="BT66" s="482"/>
      <c r="BU66" s="482"/>
      <c r="BV66" s="482"/>
      <c r="BW66" s="482"/>
      <c r="BX66" s="482"/>
      <c r="BY66" s="482"/>
      <c r="BZ66" s="482"/>
      <c r="CA66" s="482"/>
      <c r="CB66" s="482"/>
      <c r="CC66" s="482"/>
      <c r="CD66" s="482"/>
      <c r="CE66" s="482"/>
      <c r="CF66" s="482"/>
      <c r="CG66" s="482"/>
      <c r="CH66" s="482"/>
      <c r="CI66" s="482"/>
      <c r="CJ66" s="482"/>
      <c r="CK66" s="482"/>
      <c r="CL66" s="482"/>
      <c r="CM66" s="482"/>
      <c r="CN66" s="482"/>
      <c r="CO66" s="482"/>
      <c r="CP66" s="482"/>
      <c r="CQ66" s="482"/>
      <c r="CR66" s="482"/>
      <c r="CS66" s="482"/>
      <c r="CT66" s="482"/>
      <c r="CU66" s="482"/>
      <c r="CV66" s="482"/>
      <c r="CW66" s="482"/>
      <c r="CX66" s="482"/>
      <c r="CY66" s="482"/>
      <c r="CZ66" s="482"/>
      <c r="DA66" s="482"/>
      <c r="DB66" s="482"/>
      <c r="DC66" s="482"/>
      <c r="DD66" s="482"/>
      <c r="DE66" s="482"/>
      <c r="DF66" s="482"/>
      <c r="DG66" s="482"/>
      <c r="DH66" s="482"/>
      <c r="DI66" s="482"/>
      <c r="DJ66" s="482"/>
      <c r="DK66" s="482"/>
      <c r="DL66" s="482"/>
      <c r="DM66" s="482"/>
      <c r="DN66" s="482"/>
      <c r="DO66" s="482"/>
      <c r="DP66" s="482"/>
      <c r="DQ66" s="482"/>
      <c r="DR66" s="482"/>
      <c r="DS66" s="482"/>
      <c r="DT66" s="482"/>
      <c r="DU66" s="482"/>
      <c r="DV66" s="482"/>
      <c r="DW66" s="482"/>
      <c r="DX66" s="482"/>
      <c r="DY66" s="482"/>
      <c r="DZ66" s="482"/>
      <c r="EA66" s="482"/>
      <c r="EB66" s="482"/>
      <c r="EC66" s="482"/>
      <c r="ED66" s="482"/>
      <c r="EE66" s="482"/>
      <c r="EF66" s="482"/>
      <c r="EG66" s="482"/>
      <c r="EH66" s="482"/>
      <c r="EI66" s="482"/>
      <c r="EJ66" s="482"/>
      <c r="EK66" s="482"/>
      <c r="EL66" s="482"/>
      <c r="EM66" s="482"/>
      <c r="EN66" s="482"/>
      <c r="EO66" s="482"/>
      <c r="EP66" s="482"/>
      <c r="EQ66" s="482"/>
      <c r="ER66" s="482"/>
      <c r="ES66" s="482"/>
      <c r="ET66" s="482"/>
      <c r="EU66" s="482"/>
      <c r="EV66" s="482"/>
      <c r="EW66" s="482"/>
      <c r="EX66" s="482"/>
      <c r="EY66" s="482"/>
      <c r="EZ66" s="482"/>
      <c r="FA66" s="482"/>
      <c r="FB66" s="482"/>
      <c r="FC66" s="482"/>
      <c r="FD66" s="482"/>
      <c r="FE66" s="482"/>
      <c r="FF66" s="482"/>
      <c r="FG66" s="482"/>
      <c r="FH66" s="482"/>
      <c r="FI66" s="482"/>
      <c r="FJ66" s="482"/>
      <c r="FK66" s="482"/>
      <c r="FL66" s="482"/>
      <c r="FM66" s="482"/>
      <c r="FN66" s="482"/>
      <c r="FO66" s="482"/>
      <c r="FP66" s="482"/>
      <c r="FQ66" s="482"/>
      <c r="FR66" s="482"/>
      <c r="FS66" s="482"/>
      <c r="FT66" s="482"/>
      <c r="FU66" s="482"/>
      <c r="FV66" s="482"/>
      <c r="FW66" s="482"/>
      <c r="FX66" s="482"/>
      <c r="FY66" s="482"/>
      <c r="FZ66" s="482"/>
      <c r="GA66" s="482"/>
      <c r="GB66" s="482"/>
      <c r="GC66" s="482"/>
      <c r="GD66" s="482"/>
      <c r="GE66" s="482"/>
      <c r="GF66" s="482"/>
      <c r="GG66" s="482"/>
      <c r="GH66" s="482"/>
      <c r="GI66" s="482"/>
      <c r="GJ66" s="482"/>
      <c r="GK66" s="482"/>
      <c r="GL66" s="482"/>
      <c r="GM66" s="482"/>
      <c r="GN66" s="482"/>
      <c r="GO66" s="482"/>
      <c r="GP66" s="482"/>
      <c r="GQ66" s="482"/>
      <c r="GR66" s="482"/>
      <c r="GS66" s="482"/>
      <c r="GT66" s="482"/>
      <c r="GU66" s="482"/>
      <c r="GV66" s="482"/>
      <c r="GW66" s="482"/>
      <c r="GX66" s="482"/>
      <c r="GY66" s="482"/>
      <c r="GZ66" s="482"/>
      <c r="HA66" s="482"/>
      <c r="HB66" s="482"/>
      <c r="HC66" s="482"/>
      <c r="HD66" s="482"/>
      <c r="HE66" s="482"/>
      <c r="HF66" s="482"/>
      <c r="HG66" s="482"/>
      <c r="HH66" s="482"/>
      <c r="HI66" s="482"/>
      <c r="HJ66" s="482"/>
      <c r="HK66" s="482"/>
      <c r="HL66" s="482"/>
      <c r="HM66" s="482"/>
      <c r="HN66" s="482"/>
      <c r="HO66" s="482"/>
      <c r="HP66" s="482"/>
      <c r="HQ66" s="482"/>
      <c r="HR66" s="482"/>
      <c r="HS66" s="482"/>
      <c r="HT66" s="482"/>
      <c r="HU66" s="482"/>
      <c r="HV66" s="482"/>
      <c r="HW66" s="482"/>
      <c r="HX66" s="482"/>
      <c r="HY66" s="482"/>
      <c r="HZ66" s="482"/>
      <c r="IA66" s="482"/>
      <c r="IB66" s="482"/>
      <c r="IC66" s="482"/>
      <c r="ID66" s="482"/>
      <c r="IE66" s="482"/>
      <c r="IF66" s="482"/>
      <c r="IG66" s="482"/>
      <c r="IH66" s="482"/>
      <c r="II66" s="482"/>
      <c r="IJ66" s="482"/>
      <c r="IK66" s="482"/>
      <c r="IL66" s="482"/>
      <c r="IM66" s="482"/>
      <c r="IN66" s="482"/>
      <c r="IO66" s="482"/>
      <c r="IP66" s="482"/>
      <c r="IQ66" s="482"/>
      <c r="IR66" s="482"/>
    </row>
    <row r="67" spans="1:252" ht="17.25" customHeight="1">
      <c r="A67" s="647" t="s">
        <v>941</v>
      </c>
      <c r="B67" s="645" t="s">
        <v>942</v>
      </c>
      <c r="C67" s="497" t="s">
        <v>943</v>
      </c>
      <c r="D67" s="489"/>
      <c r="E67" s="490"/>
      <c r="F67" s="490">
        <v>0</v>
      </c>
      <c r="G67" s="497"/>
      <c r="H67" s="489"/>
      <c r="I67" s="490"/>
      <c r="J67" s="490">
        <v>55253191</v>
      </c>
      <c r="K67" s="490">
        <v>55253</v>
      </c>
      <c r="L67" s="490">
        <v>55253</v>
      </c>
      <c r="M67" s="490">
        <f>55253-354</f>
        <v>54899</v>
      </c>
      <c r="N67" s="490">
        <f>55253-354</f>
        <v>54899</v>
      </c>
      <c r="O67" s="490">
        <v>68298</v>
      </c>
      <c r="P67" s="646">
        <v>68298</v>
      </c>
      <c r="Q67" s="482"/>
      <c r="R67" s="482"/>
      <c r="S67" s="482"/>
      <c r="T67" s="482"/>
      <c r="U67" s="482"/>
      <c r="V67" s="482"/>
      <c r="W67" s="482"/>
      <c r="X67" s="482"/>
      <c r="Y67" s="482"/>
      <c r="Z67" s="482"/>
      <c r="AA67" s="482"/>
      <c r="AB67" s="482"/>
      <c r="AC67" s="482"/>
      <c r="AD67" s="482"/>
      <c r="AE67" s="482"/>
      <c r="AF67" s="482"/>
      <c r="AG67" s="482"/>
      <c r="AH67" s="482"/>
      <c r="AI67" s="482"/>
      <c r="AJ67" s="482"/>
      <c r="AK67" s="482"/>
      <c r="AL67" s="482"/>
      <c r="AM67" s="482"/>
      <c r="AN67" s="482"/>
      <c r="AO67" s="482"/>
      <c r="AP67" s="482"/>
      <c r="AQ67" s="482"/>
      <c r="AR67" s="482"/>
      <c r="AS67" s="482"/>
      <c r="AT67" s="482"/>
      <c r="AU67" s="482"/>
      <c r="AV67" s="482"/>
      <c r="AW67" s="482"/>
      <c r="AX67" s="482"/>
      <c r="AY67" s="482"/>
      <c r="AZ67" s="482"/>
      <c r="BA67" s="482"/>
      <c r="BB67" s="482"/>
      <c r="BC67" s="482"/>
      <c r="BD67" s="482"/>
      <c r="BE67" s="482"/>
      <c r="BF67" s="482"/>
      <c r="BG67" s="482"/>
      <c r="BH67" s="482"/>
      <c r="BI67" s="482"/>
      <c r="BJ67" s="482"/>
      <c r="BK67" s="482"/>
      <c r="BL67" s="482"/>
      <c r="BM67" s="482"/>
      <c r="BN67" s="482"/>
      <c r="BO67" s="482"/>
      <c r="BP67" s="482"/>
      <c r="BQ67" s="482"/>
      <c r="BR67" s="482"/>
      <c r="BS67" s="482"/>
      <c r="BT67" s="482"/>
      <c r="BU67" s="482"/>
      <c r="BV67" s="482"/>
      <c r="BW67" s="482"/>
      <c r="BX67" s="482"/>
      <c r="BY67" s="482"/>
      <c r="BZ67" s="482"/>
      <c r="CA67" s="482"/>
      <c r="CB67" s="482"/>
      <c r="CC67" s="482"/>
      <c r="CD67" s="482"/>
      <c r="CE67" s="482"/>
      <c r="CF67" s="482"/>
      <c r="CG67" s="482"/>
      <c r="CH67" s="482"/>
      <c r="CI67" s="482"/>
      <c r="CJ67" s="482"/>
      <c r="CK67" s="482"/>
      <c r="CL67" s="482"/>
      <c r="CM67" s="482"/>
      <c r="CN67" s="482"/>
      <c r="CO67" s="482"/>
      <c r="CP67" s="482"/>
      <c r="CQ67" s="482"/>
      <c r="CR67" s="482"/>
      <c r="CS67" s="482"/>
      <c r="CT67" s="482"/>
      <c r="CU67" s="482"/>
      <c r="CV67" s="482"/>
      <c r="CW67" s="482"/>
      <c r="CX67" s="482"/>
      <c r="CY67" s="482"/>
      <c r="CZ67" s="482"/>
      <c r="DA67" s="482"/>
      <c r="DB67" s="482"/>
      <c r="DC67" s="482"/>
      <c r="DD67" s="482"/>
      <c r="DE67" s="482"/>
      <c r="DF67" s="482"/>
      <c r="DG67" s="482"/>
      <c r="DH67" s="482"/>
      <c r="DI67" s="482"/>
      <c r="DJ67" s="482"/>
      <c r="DK67" s="482"/>
      <c r="DL67" s="482"/>
      <c r="DM67" s="482"/>
      <c r="DN67" s="482"/>
      <c r="DO67" s="482"/>
      <c r="DP67" s="482"/>
      <c r="DQ67" s="482"/>
      <c r="DR67" s="482"/>
      <c r="DS67" s="482"/>
      <c r="DT67" s="482"/>
      <c r="DU67" s="482"/>
      <c r="DV67" s="482"/>
      <c r="DW67" s="482"/>
      <c r="DX67" s="482"/>
      <c r="DY67" s="482"/>
      <c r="DZ67" s="482"/>
      <c r="EA67" s="482"/>
      <c r="EB67" s="482"/>
      <c r="EC67" s="482"/>
      <c r="ED67" s="482"/>
      <c r="EE67" s="482"/>
      <c r="EF67" s="482"/>
      <c r="EG67" s="482"/>
      <c r="EH67" s="482"/>
      <c r="EI67" s="482"/>
      <c r="EJ67" s="482"/>
      <c r="EK67" s="482"/>
      <c r="EL67" s="482"/>
      <c r="EM67" s="482"/>
      <c r="EN67" s="482"/>
      <c r="EO67" s="482"/>
      <c r="EP67" s="482"/>
      <c r="EQ67" s="482"/>
      <c r="ER67" s="482"/>
      <c r="ES67" s="482"/>
      <c r="ET67" s="482"/>
      <c r="EU67" s="482"/>
      <c r="EV67" s="482"/>
      <c r="EW67" s="482"/>
      <c r="EX67" s="482"/>
      <c r="EY67" s="482"/>
      <c r="EZ67" s="482"/>
      <c r="FA67" s="482"/>
      <c r="FB67" s="482"/>
      <c r="FC67" s="482"/>
      <c r="FD67" s="482"/>
      <c r="FE67" s="482"/>
      <c r="FF67" s="482"/>
      <c r="FG67" s="482"/>
      <c r="FH67" s="482"/>
      <c r="FI67" s="482"/>
      <c r="FJ67" s="482"/>
      <c r="FK67" s="482"/>
      <c r="FL67" s="482"/>
      <c r="FM67" s="482"/>
      <c r="FN67" s="482"/>
      <c r="FO67" s="482"/>
      <c r="FP67" s="482"/>
      <c r="FQ67" s="482"/>
      <c r="FR67" s="482"/>
      <c r="FS67" s="482"/>
      <c r="FT67" s="482"/>
      <c r="FU67" s="482"/>
      <c r="FV67" s="482"/>
      <c r="FW67" s="482"/>
      <c r="FX67" s="482"/>
      <c r="FY67" s="482"/>
      <c r="FZ67" s="482"/>
      <c r="GA67" s="482"/>
      <c r="GB67" s="482"/>
      <c r="GC67" s="482"/>
      <c r="GD67" s="482"/>
      <c r="GE67" s="482"/>
      <c r="GF67" s="482"/>
      <c r="GG67" s="482"/>
      <c r="GH67" s="482"/>
      <c r="GI67" s="482"/>
      <c r="GJ67" s="482"/>
      <c r="GK67" s="482"/>
      <c r="GL67" s="482"/>
      <c r="GM67" s="482"/>
      <c r="GN67" s="482"/>
      <c r="GO67" s="482"/>
      <c r="GP67" s="482"/>
      <c r="GQ67" s="482"/>
      <c r="GR67" s="482"/>
      <c r="GS67" s="482"/>
      <c r="GT67" s="482"/>
      <c r="GU67" s="482"/>
      <c r="GV67" s="482"/>
      <c r="GW67" s="482"/>
      <c r="GX67" s="482"/>
      <c r="GY67" s="482"/>
      <c r="GZ67" s="482"/>
      <c r="HA67" s="482"/>
      <c r="HB67" s="482"/>
      <c r="HC67" s="482"/>
      <c r="HD67" s="482"/>
      <c r="HE67" s="482"/>
      <c r="HF67" s="482"/>
      <c r="HG67" s="482"/>
      <c r="HH67" s="482"/>
      <c r="HI67" s="482"/>
      <c r="HJ67" s="482"/>
      <c r="HK67" s="482"/>
      <c r="HL67" s="482"/>
      <c r="HM67" s="482"/>
      <c r="HN67" s="482"/>
      <c r="HO67" s="482"/>
      <c r="HP67" s="482"/>
      <c r="HQ67" s="482"/>
      <c r="HR67" s="482"/>
      <c r="HS67" s="482"/>
      <c r="HT67" s="482"/>
      <c r="HU67" s="482"/>
      <c r="HV67" s="482"/>
      <c r="HW67" s="482"/>
      <c r="HX67" s="482"/>
      <c r="HY67" s="482"/>
      <c r="HZ67" s="482"/>
      <c r="IA67" s="482"/>
      <c r="IB67" s="482"/>
      <c r="IC67" s="482"/>
      <c r="ID67" s="482"/>
      <c r="IE67" s="482"/>
      <c r="IF67" s="482"/>
      <c r="IG67" s="482"/>
      <c r="IH67" s="482"/>
      <c r="II67" s="482"/>
      <c r="IJ67" s="482"/>
      <c r="IK67" s="482"/>
      <c r="IL67" s="482"/>
      <c r="IM67" s="482"/>
      <c r="IN67" s="482"/>
      <c r="IO67" s="482"/>
      <c r="IP67" s="482"/>
      <c r="IQ67" s="482"/>
      <c r="IR67" s="482"/>
    </row>
    <row r="68" spans="1:252" ht="18.75" customHeight="1">
      <c r="A68" s="652" t="s">
        <v>936</v>
      </c>
      <c r="B68" s="658" t="s">
        <v>944</v>
      </c>
      <c r="C68" s="497"/>
      <c r="D68" s="489"/>
      <c r="E68" s="490"/>
      <c r="F68" s="654">
        <f>SUM(F66:F67)</f>
        <v>70535040</v>
      </c>
      <c r="G68" s="497"/>
      <c r="H68" s="489"/>
      <c r="I68" s="490"/>
      <c r="J68" s="654">
        <f aca="true" t="shared" si="7" ref="J68:P68">SUM(J66:J67)</f>
        <v>116257351</v>
      </c>
      <c r="K68" s="654">
        <f t="shared" si="7"/>
        <v>116257</v>
      </c>
      <c r="L68" s="654">
        <f t="shared" si="7"/>
        <v>116257</v>
      </c>
      <c r="M68" s="654">
        <f t="shared" si="7"/>
        <v>118172</v>
      </c>
      <c r="N68" s="654">
        <f t="shared" si="7"/>
        <v>118172</v>
      </c>
      <c r="O68" s="654">
        <f t="shared" si="7"/>
        <v>132713</v>
      </c>
      <c r="P68" s="655">
        <f t="shared" si="7"/>
        <v>132713</v>
      </c>
      <c r="Q68" s="482"/>
      <c r="R68" s="482"/>
      <c r="S68" s="482"/>
      <c r="T68" s="482"/>
      <c r="U68" s="482"/>
      <c r="V68" s="482"/>
      <c r="W68" s="482"/>
      <c r="X68" s="482"/>
      <c r="Y68" s="482"/>
      <c r="Z68" s="482"/>
      <c r="AA68" s="482"/>
      <c r="AB68" s="482"/>
      <c r="AC68" s="482"/>
      <c r="AD68" s="482"/>
      <c r="AE68" s="482"/>
      <c r="AF68" s="482"/>
      <c r="AG68" s="482"/>
      <c r="AH68" s="482"/>
      <c r="AI68" s="482"/>
      <c r="AJ68" s="482"/>
      <c r="AK68" s="482"/>
      <c r="AL68" s="482"/>
      <c r="AM68" s="482"/>
      <c r="AN68" s="482"/>
      <c r="AO68" s="482"/>
      <c r="AP68" s="482"/>
      <c r="AQ68" s="482"/>
      <c r="AR68" s="482"/>
      <c r="AS68" s="482"/>
      <c r="AT68" s="482"/>
      <c r="AU68" s="482"/>
      <c r="AV68" s="482"/>
      <c r="AW68" s="482"/>
      <c r="AX68" s="482"/>
      <c r="AY68" s="482"/>
      <c r="AZ68" s="482"/>
      <c r="BA68" s="482"/>
      <c r="BB68" s="482"/>
      <c r="BC68" s="482"/>
      <c r="BD68" s="482"/>
      <c r="BE68" s="482"/>
      <c r="BF68" s="482"/>
      <c r="BG68" s="482"/>
      <c r="BH68" s="482"/>
      <c r="BI68" s="482"/>
      <c r="BJ68" s="482"/>
      <c r="BK68" s="482"/>
      <c r="BL68" s="482"/>
      <c r="BM68" s="482"/>
      <c r="BN68" s="482"/>
      <c r="BO68" s="482"/>
      <c r="BP68" s="482"/>
      <c r="BQ68" s="482"/>
      <c r="BR68" s="482"/>
      <c r="BS68" s="482"/>
      <c r="BT68" s="482"/>
      <c r="BU68" s="482"/>
      <c r="BV68" s="482"/>
      <c r="BW68" s="482"/>
      <c r="BX68" s="482"/>
      <c r="BY68" s="482"/>
      <c r="BZ68" s="482"/>
      <c r="CA68" s="482"/>
      <c r="CB68" s="482"/>
      <c r="CC68" s="482"/>
      <c r="CD68" s="482"/>
      <c r="CE68" s="482"/>
      <c r="CF68" s="482"/>
      <c r="CG68" s="482"/>
      <c r="CH68" s="482"/>
      <c r="CI68" s="482"/>
      <c r="CJ68" s="482"/>
      <c r="CK68" s="482"/>
      <c r="CL68" s="482"/>
      <c r="CM68" s="482"/>
      <c r="CN68" s="482"/>
      <c r="CO68" s="482"/>
      <c r="CP68" s="482"/>
      <c r="CQ68" s="482"/>
      <c r="CR68" s="482"/>
      <c r="CS68" s="482"/>
      <c r="CT68" s="482"/>
      <c r="CU68" s="482"/>
      <c r="CV68" s="482"/>
      <c r="CW68" s="482"/>
      <c r="CX68" s="482"/>
      <c r="CY68" s="482"/>
      <c r="CZ68" s="482"/>
      <c r="DA68" s="482"/>
      <c r="DB68" s="482"/>
      <c r="DC68" s="482"/>
      <c r="DD68" s="482"/>
      <c r="DE68" s="482"/>
      <c r="DF68" s="482"/>
      <c r="DG68" s="482"/>
      <c r="DH68" s="482"/>
      <c r="DI68" s="482"/>
      <c r="DJ68" s="482"/>
      <c r="DK68" s="482"/>
      <c r="DL68" s="482"/>
      <c r="DM68" s="482"/>
      <c r="DN68" s="482"/>
      <c r="DO68" s="482"/>
      <c r="DP68" s="482"/>
      <c r="DQ68" s="482"/>
      <c r="DR68" s="482"/>
      <c r="DS68" s="482"/>
      <c r="DT68" s="482"/>
      <c r="DU68" s="482"/>
      <c r="DV68" s="482"/>
      <c r="DW68" s="482"/>
      <c r="DX68" s="482"/>
      <c r="DY68" s="482"/>
      <c r="DZ68" s="482"/>
      <c r="EA68" s="482"/>
      <c r="EB68" s="482"/>
      <c r="EC68" s="482"/>
      <c r="ED68" s="482"/>
      <c r="EE68" s="482"/>
      <c r="EF68" s="482"/>
      <c r="EG68" s="482"/>
      <c r="EH68" s="482"/>
      <c r="EI68" s="482"/>
      <c r="EJ68" s="482"/>
      <c r="EK68" s="482"/>
      <c r="EL68" s="482"/>
      <c r="EM68" s="482"/>
      <c r="EN68" s="482"/>
      <c r="EO68" s="482"/>
      <c r="EP68" s="482"/>
      <c r="EQ68" s="482"/>
      <c r="ER68" s="482"/>
      <c r="ES68" s="482"/>
      <c r="ET68" s="482"/>
      <c r="EU68" s="482"/>
      <c r="EV68" s="482"/>
      <c r="EW68" s="482"/>
      <c r="EX68" s="482"/>
      <c r="EY68" s="482"/>
      <c r="EZ68" s="482"/>
      <c r="FA68" s="482"/>
      <c r="FB68" s="482"/>
      <c r="FC68" s="482"/>
      <c r="FD68" s="482"/>
      <c r="FE68" s="482"/>
      <c r="FF68" s="482"/>
      <c r="FG68" s="482"/>
      <c r="FH68" s="482"/>
      <c r="FI68" s="482"/>
      <c r="FJ68" s="482"/>
      <c r="FK68" s="482"/>
      <c r="FL68" s="482"/>
      <c r="FM68" s="482"/>
      <c r="FN68" s="482"/>
      <c r="FO68" s="482"/>
      <c r="FP68" s="482"/>
      <c r="FQ68" s="482"/>
      <c r="FR68" s="482"/>
      <c r="FS68" s="482"/>
      <c r="FT68" s="482"/>
      <c r="FU68" s="482"/>
      <c r="FV68" s="482"/>
      <c r="FW68" s="482"/>
      <c r="FX68" s="482"/>
      <c r="FY68" s="482"/>
      <c r="FZ68" s="482"/>
      <c r="GA68" s="482"/>
      <c r="GB68" s="482"/>
      <c r="GC68" s="482"/>
      <c r="GD68" s="482"/>
      <c r="GE68" s="482"/>
      <c r="GF68" s="482"/>
      <c r="GG68" s="482"/>
      <c r="GH68" s="482"/>
      <c r="GI68" s="482"/>
      <c r="GJ68" s="482"/>
      <c r="GK68" s="482"/>
      <c r="GL68" s="482"/>
      <c r="GM68" s="482"/>
      <c r="GN68" s="482"/>
      <c r="GO68" s="482"/>
      <c r="GP68" s="482"/>
      <c r="GQ68" s="482"/>
      <c r="GR68" s="482"/>
      <c r="GS68" s="482"/>
      <c r="GT68" s="482"/>
      <c r="GU68" s="482"/>
      <c r="GV68" s="482"/>
      <c r="GW68" s="482"/>
      <c r="GX68" s="482"/>
      <c r="GY68" s="482"/>
      <c r="GZ68" s="482"/>
      <c r="HA68" s="482"/>
      <c r="HB68" s="482"/>
      <c r="HC68" s="482"/>
      <c r="HD68" s="482"/>
      <c r="HE68" s="482"/>
      <c r="HF68" s="482"/>
      <c r="HG68" s="482"/>
      <c r="HH68" s="482"/>
      <c r="HI68" s="482"/>
      <c r="HJ68" s="482"/>
      <c r="HK68" s="482"/>
      <c r="HL68" s="482"/>
      <c r="HM68" s="482"/>
      <c r="HN68" s="482"/>
      <c r="HO68" s="482"/>
      <c r="HP68" s="482"/>
      <c r="HQ68" s="482"/>
      <c r="HR68" s="482"/>
      <c r="HS68" s="482"/>
      <c r="HT68" s="482"/>
      <c r="HU68" s="482"/>
      <c r="HV68" s="482"/>
      <c r="HW68" s="482"/>
      <c r="HX68" s="482"/>
      <c r="HY68" s="482"/>
      <c r="HZ68" s="482"/>
      <c r="IA68" s="482"/>
      <c r="IB68" s="482"/>
      <c r="IC68" s="482"/>
      <c r="ID68" s="482"/>
      <c r="IE68" s="482"/>
      <c r="IF68" s="482"/>
      <c r="IG68" s="482"/>
      <c r="IH68" s="482"/>
      <c r="II68" s="482"/>
      <c r="IJ68" s="482"/>
      <c r="IK68" s="482"/>
      <c r="IL68" s="482"/>
      <c r="IM68" s="482"/>
      <c r="IN68" s="482"/>
      <c r="IO68" s="482"/>
      <c r="IP68" s="482"/>
      <c r="IQ68" s="482"/>
      <c r="IR68" s="482"/>
    </row>
    <row r="69" spans="1:252" ht="18.75" customHeight="1">
      <c r="A69" s="652" t="s">
        <v>945</v>
      </c>
      <c r="B69" s="658" t="s">
        <v>946</v>
      </c>
      <c r="C69" s="497"/>
      <c r="D69" s="489"/>
      <c r="E69" s="490"/>
      <c r="F69" s="654"/>
      <c r="G69" s="497"/>
      <c r="H69" s="489"/>
      <c r="I69" s="490" t="s">
        <v>947</v>
      </c>
      <c r="J69" s="654"/>
      <c r="K69" s="654">
        <v>0</v>
      </c>
      <c r="L69" s="654">
        <v>8941</v>
      </c>
      <c r="M69" s="654">
        <f>8941+4918</f>
        <v>13859</v>
      </c>
      <c r="N69" s="654">
        <f>8941+4918+3987</f>
        <v>17846</v>
      </c>
      <c r="O69" s="654">
        <f>17846+328</f>
        <v>18174</v>
      </c>
      <c r="P69" s="655">
        <v>18174</v>
      </c>
      <c r="Q69" s="482"/>
      <c r="R69" s="482"/>
      <c r="S69" s="482"/>
      <c r="T69" s="482"/>
      <c r="U69" s="482"/>
      <c r="V69" s="482"/>
      <c r="W69" s="482"/>
      <c r="X69" s="482"/>
      <c r="Y69" s="482"/>
      <c r="Z69" s="482"/>
      <c r="AA69" s="482"/>
      <c r="AB69" s="482"/>
      <c r="AC69" s="482"/>
      <c r="AD69" s="482"/>
      <c r="AE69" s="482"/>
      <c r="AF69" s="482"/>
      <c r="AG69" s="482"/>
      <c r="AH69" s="482"/>
      <c r="AI69" s="482"/>
      <c r="AJ69" s="482"/>
      <c r="AK69" s="482"/>
      <c r="AL69" s="482"/>
      <c r="AM69" s="482"/>
      <c r="AN69" s="482"/>
      <c r="AO69" s="482"/>
      <c r="AP69" s="482"/>
      <c r="AQ69" s="482"/>
      <c r="AR69" s="482"/>
      <c r="AS69" s="482"/>
      <c r="AT69" s="482"/>
      <c r="AU69" s="482"/>
      <c r="AV69" s="482"/>
      <c r="AW69" s="482"/>
      <c r="AX69" s="482"/>
      <c r="AY69" s="482"/>
      <c r="AZ69" s="482"/>
      <c r="BA69" s="482"/>
      <c r="BB69" s="482"/>
      <c r="BC69" s="482"/>
      <c r="BD69" s="482"/>
      <c r="BE69" s="482"/>
      <c r="BF69" s="482"/>
      <c r="BG69" s="482"/>
      <c r="BH69" s="482"/>
      <c r="BI69" s="482"/>
      <c r="BJ69" s="482"/>
      <c r="BK69" s="482"/>
      <c r="BL69" s="482"/>
      <c r="BM69" s="482"/>
      <c r="BN69" s="482"/>
      <c r="BO69" s="482"/>
      <c r="BP69" s="482"/>
      <c r="BQ69" s="482"/>
      <c r="BR69" s="482"/>
      <c r="BS69" s="482"/>
      <c r="BT69" s="482"/>
      <c r="BU69" s="482"/>
      <c r="BV69" s="482"/>
      <c r="BW69" s="482"/>
      <c r="BX69" s="482"/>
      <c r="BY69" s="482"/>
      <c r="BZ69" s="482"/>
      <c r="CA69" s="482"/>
      <c r="CB69" s="482"/>
      <c r="CC69" s="482"/>
      <c r="CD69" s="482"/>
      <c r="CE69" s="482"/>
      <c r="CF69" s="482"/>
      <c r="CG69" s="482"/>
      <c r="CH69" s="482"/>
      <c r="CI69" s="482"/>
      <c r="CJ69" s="482"/>
      <c r="CK69" s="482"/>
      <c r="CL69" s="482"/>
      <c r="CM69" s="482"/>
      <c r="CN69" s="482"/>
      <c r="CO69" s="482"/>
      <c r="CP69" s="482"/>
      <c r="CQ69" s="482"/>
      <c r="CR69" s="482"/>
      <c r="CS69" s="482"/>
      <c r="CT69" s="482"/>
      <c r="CU69" s="482"/>
      <c r="CV69" s="482"/>
      <c r="CW69" s="482"/>
      <c r="CX69" s="482"/>
      <c r="CY69" s="482"/>
      <c r="CZ69" s="482"/>
      <c r="DA69" s="482"/>
      <c r="DB69" s="482"/>
      <c r="DC69" s="482"/>
      <c r="DD69" s="482"/>
      <c r="DE69" s="482"/>
      <c r="DF69" s="482"/>
      <c r="DG69" s="482"/>
      <c r="DH69" s="482"/>
      <c r="DI69" s="482"/>
      <c r="DJ69" s="482"/>
      <c r="DK69" s="482"/>
      <c r="DL69" s="482"/>
      <c r="DM69" s="482"/>
      <c r="DN69" s="482"/>
      <c r="DO69" s="482"/>
      <c r="DP69" s="482"/>
      <c r="DQ69" s="482"/>
      <c r="DR69" s="482"/>
      <c r="DS69" s="482"/>
      <c r="DT69" s="482"/>
      <c r="DU69" s="482"/>
      <c r="DV69" s="482"/>
      <c r="DW69" s="482"/>
      <c r="DX69" s="482"/>
      <c r="DY69" s="482"/>
      <c r="DZ69" s="482"/>
      <c r="EA69" s="482"/>
      <c r="EB69" s="482"/>
      <c r="EC69" s="482"/>
      <c r="ED69" s="482"/>
      <c r="EE69" s="482"/>
      <c r="EF69" s="482"/>
      <c r="EG69" s="482"/>
      <c r="EH69" s="482"/>
      <c r="EI69" s="482"/>
      <c r="EJ69" s="482"/>
      <c r="EK69" s="482"/>
      <c r="EL69" s="482"/>
      <c r="EM69" s="482"/>
      <c r="EN69" s="482"/>
      <c r="EO69" s="482"/>
      <c r="EP69" s="482"/>
      <c r="EQ69" s="482"/>
      <c r="ER69" s="482"/>
      <c r="ES69" s="482"/>
      <c r="ET69" s="482"/>
      <c r="EU69" s="482"/>
      <c r="EV69" s="482"/>
      <c r="EW69" s="482"/>
      <c r="EX69" s="482"/>
      <c r="EY69" s="482"/>
      <c r="EZ69" s="482"/>
      <c r="FA69" s="482"/>
      <c r="FB69" s="482"/>
      <c r="FC69" s="482"/>
      <c r="FD69" s="482"/>
      <c r="FE69" s="482"/>
      <c r="FF69" s="482"/>
      <c r="FG69" s="482"/>
      <c r="FH69" s="482"/>
      <c r="FI69" s="482"/>
      <c r="FJ69" s="482"/>
      <c r="FK69" s="482"/>
      <c r="FL69" s="482"/>
      <c r="FM69" s="482"/>
      <c r="FN69" s="482"/>
      <c r="FO69" s="482"/>
      <c r="FP69" s="482"/>
      <c r="FQ69" s="482"/>
      <c r="FR69" s="482"/>
      <c r="FS69" s="482"/>
      <c r="FT69" s="482"/>
      <c r="FU69" s="482"/>
      <c r="FV69" s="482"/>
      <c r="FW69" s="482"/>
      <c r="FX69" s="482"/>
      <c r="FY69" s="482"/>
      <c r="FZ69" s="482"/>
      <c r="GA69" s="482"/>
      <c r="GB69" s="482"/>
      <c r="GC69" s="482"/>
      <c r="GD69" s="482"/>
      <c r="GE69" s="482"/>
      <c r="GF69" s="482"/>
      <c r="GG69" s="482"/>
      <c r="GH69" s="482"/>
      <c r="GI69" s="482"/>
      <c r="GJ69" s="482"/>
      <c r="GK69" s="482"/>
      <c r="GL69" s="482"/>
      <c r="GM69" s="482"/>
      <c r="GN69" s="482"/>
      <c r="GO69" s="482"/>
      <c r="GP69" s="482"/>
      <c r="GQ69" s="482"/>
      <c r="GR69" s="482"/>
      <c r="GS69" s="482"/>
      <c r="GT69" s="482"/>
      <c r="GU69" s="482"/>
      <c r="GV69" s="482"/>
      <c r="GW69" s="482"/>
      <c r="GX69" s="482"/>
      <c r="GY69" s="482"/>
      <c r="GZ69" s="482"/>
      <c r="HA69" s="482"/>
      <c r="HB69" s="482"/>
      <c r="HC69" s="482"/>
      <c r="HD69" s="482"/>
      <c r="HE69" s="482"/>
      <c r="HF69" s="482"/>
      <c r="HG69" s="482"/>
      <c r="HH69" s="482"/>
      <c r="HI69" s="482"/>
      <c r="HJ69" s="482"/>
      <c r="HK69" s="482"/>
      <c r="HL69" s="482"/>
      <c r="HM69" s="482"/>
      <c r="HN69" s="482"/>
      <c r="HO69" s="482"/>
      <c r="HP69" s="482"/>
      <c r="HQ69" s="482"/>
      <c r="HR69" s="482"/>
      <c r="HS69" s="482"/>
      <c r="HT69" s="482"/>
      <c r="HU69" s="482"/>
      <c r="HV69" s="482"/>
      <c r="HW69" s="482"/>
      <c r="HX69" s="482"/>
      <c r="HY69" s="482"/>
      <c r="HZ69" s="482"/>
      <c r="IA69" s="482"/>
      <c r="IB69" s="482"/>
      <c r="IC69" s="482"/>
      <c r="ID69" s="482"/>
      <c r="IE69" s="482"/>
      <c r="IF69" s="482"/>
      <c r="IG69" s="482"/>
      <c r="IH69" s="482"/>
      <c r="II69" s="482"/>
      <c r="IJ69" s="482"/>
      <c r="IK69" s="482"/>
      <c r="IL69" s="482"/>
      <c r="IM69" s="482"/>
      <c r="IN69" s="482"/>
      <c r="IO69" s="482"/>
      <c r="IP69" s="482"/>
      <c r="IQ69" s="482"/>
      <c r="IR69" s="482"/>
    </row>
    <row r="70" spans="1:252" ht="15" customHeight="1">
      <c r="A70" s="660" t="s">
        <v>948</v>
      </c>
      <c r="B70" s="657" t="s">
        <v>949</v>
      </c>
      <c r="C70" s="498"/>
      <c r="D70" s="489"/>
      <c r="E70" s="490"/>
      <c r="F70" s="654" t="e">
        <f>#N/A</f>
        <v>#N/A</v>
      </c>
      <c r="G70" s="498"/>
      <c r="H70" s="489"/>
      <c r="I70" s="490"/>
      <c r="J70" s="654">
        <f>J43+J61+J64+J68</f>
        <v>430731779</v>
      </c>
      <c r="K70" s="654">
        <f aca="true" t="shared" si="8" ref="K70:P70">K43+K61+K64+K68+K69</f>
        <v>430732</v>
      </c>
      <c r="L70" s="654">
        <f t="shared" si="8"/>
        <v>445940</v>
      </c>
      <c r="M70" s="654">
        <f t="shared" si="8"/>
        <v>452773</v>
      </c>
      <c r="N70" s="654">
        <f t="shared" si="8"/>
        <v>456760</v>
      </c>
      <c r="O70" s="654">
        <f t="shared" si="8"/>
        <v>479867</v>
      </c>
      <c r="P70" s="655">
        <f t="shared" si="8"/>
        <v>479867</v>
      </c>
      <c r="Q70" s="482"/>
      <c r="R70" s="482"/>
      <c r="S70" s="482"/>
      <c r="T70" s="482"/>
      <c r="U70" s="482"/>
      <c r="V70" s="482"/>
      <c r="W70" s="482"/>
      <c r="X70" s="482"/>
      <c r="Y70" s="482"/>
      <c r="Z70" s="482"/>
      <c r="AA70" s="482"/>
      <c r="AB70" s="482"/>
      <c r="AC70" s="482"/>
      <c r="AD70" s="482"/>
      <c r="AE70" s="482"/>
      <c r="AF70" s="482"/>
      <c r="AG70" s="482"/>
      <c r="AH70" s="482"/>
      <c r="AI70" s="482"/>
      <c r="AJ70" s="482"/>
      <c r="AK70" s="482"/>
      <c r="AL70" s="482"/>
      <c r="AM70" s="482"/>
      <c r="AN70" s="482"/>
      <c r="AO70" s="482"/>
      <c r="AP70" s="482"/>
      <c r="AQ70" s="482"/>
      <c r="AR70" s="482"/>
      <c r="AS70" s="482"/>
      <c r="AT70" s="482"/>
      <c r="AU70" s="482"/>
      <c r="AV70" s="482"/>
      <c r="AW70" s="482"/>
      <c r="AX70" s="482"/>
      <c r="AY70" s="482"/>
      <c r="AZ70" s="482"/>
      <c r="BA70" s="482"/>
      <c r="BB70" s="482"/>
      <c r="BC70" s="482"/>
      <c r="BD70" s="482"/>
      <c r="BE70" s="482"/>
      <c r="BF70" s="482"/>
      <c r="BG70" s="482"/>
      <c r="BH70" s="482"/>
      <c r="BI70" s="482"/>
      <c r="BJ70" s="482"/>
      <c r="BK70" s="482"/>
      <c r="BL70" s="482"/>
      <c r="BM70" s="482"/>
      <c r="BN70" s="482"/>
      <c r="BO70" s="482"/>
      <c r="BP70" s="482"/>
      <c r="BQ70" s="482"/>
      <c r="BR70" s="482"/>
      <c r="BS70" s="482"/>
      <c r="BT70" s="482"/>
      <c r="BU70" s="482"/>
      <c r="BV70" s="482"/>
      <c r="BW70" s="482"/>
      <c r="BX70" s="482"/>
      <c r="BY70" s="482"/>
      <c r="BZ70" s="482"/>
      <c r="CA70" s="482"/>
      <c r="CB70" s="482"/>
      <c r="CC70" s="482"/>
      <c r="CD70" s="482"/>
      <c r="CE70" s="482"/>
      <c r="CF70" s="482"/>
      <c r="CG70" s="482"/>
      <c r="CH70" s="482"/>
      <c r="CI70" s="482"/>
      <c r="CJ70" s="482"/>
      <c r="CK70" s="482"/>
      <c r="CL70" s="482"/>
      <c r="CM70" s="482"/>
      <c r="CN70" s="482"/>
      <c r="CO70" s="482"/>
      <c r="CP70" s="482"/>
      <c r="CQ70" s="482"/>
      <c r="CR70" s="482"/>
      <c r="CS70" s="482"/>
      <c r="CT70" s="482"/>
      <c r="CU70" s="482"/>
      <c r="CV70" s="482"/>
      <c r="CW70" s="482"/>
      <c r="CX70" s="482"/>
      <c r="CY70" s="482"/>
      <c r="CZ70" s="482"/>
      <c r="DA70" s="482"/>
      <c r="DB70" s="482"/>
      <c r="DC70" s="482"/>
      <c r="DD70" s="482"/>
      <c r="DE70" s="482"/>
      <c r="DF70" s="482"/>
      <c r="DG70" s="482"/>
      <c r="DH70" s="482"/>
      <c r="DI70" s="482"/>
      <c r="DJ70" s="482"/>
      <c r="DK70" s="482"/>
      <c r="DL70" s="482"/>
      <c r="DM70" s="482"/>
      <c r="DN70" s="482"/>
      <c r="DO70" s="482"/>
      <c r="DP70" s="482"/>
      <c r="DQ70" s="482"/>
      <c r="DR70" s="482"/>
      <c r="DS70" s="482"/>
      <c r="DT70" s="482"/>
      <c r="DU70" s="482"/>
      <c r="DV70" s="482"/>
      <c r="DW70" s="482"/>
      <c r="DX70" s="482"/>
      <c r="DY70" s="482"/>
      <c r="DZ70" s="482"/>
      <c r="EA70" s="482"/>
      <c r="EB70" s="482"/>
      <c r="EC70" s="482"/>
      <c r="ED70" s="482"/>
      <c r="EE70" s="482"/>
      <c r="EF70" s="482"/>
      <c r="EG70" s="482"/>
      <c r="EH70" s="482"/>
      <c r="EI70" s="482"/>
      <c r="EJ70" s="482"/>
      <c r="EK70" s="482"/>
      <c r="EL70" s="482"/>
      <c r="EM70" s="482"/>
      <c r="EN70" s="482"/>
      <c r="EO70" s="482"/>
      <c r="EP70" s="482"/>
      <c r="EQ70" s="482"/>
      <c r="ER70" s="482"/>
      <c r="ES70" s="482"/>
      <c r="ET70" s="482"/>
      <c r="EU70" s="482"/>
      <c r="EV70" s="482"/>
      <c r="EW70" s="482"/>
      <c r="EX70" s="482"/>
      <c r="EY70" s="482"/>
      <c r="EZ70" s="482"/>
      <c r="FA70" s="482"/>
      <c r="FB70" s="482"/>
      <c r="FC70" s="482"/>
      <c r="FD70" s="482"/>
      <c r="FE70" s="482"/>
      <c r="FF70" s="482"/>
      <c r="FG70" s="482"/>
      <c r="FH70" s="482"/>
      <c r="FI70" s="482"/>
      <c r="FJ70" s="482"/>
      <c r="FK70" s="482"/>
      <c r="FL70" s="482"/>
      <c r="FM70" s="482"/>
      <c r="FN70" s="482"/>
      <c r="FO70" s="482"/>
      <c r="FP70" s="482"/>
      <c r="FQ70" s="482"/>
      <c r="FR70" s="482"/>
      <c r="FS70" s="482"/>
      <c r="FT70" s="482"/>
      <c r="FU70" s="482"/>
      <c r="FV70" s="482"/>
      <c r="FW70" s="482"/>
      <c r="FX70" s="482"/>
      <c r="FY70" s="482"/>
      <c r="FZ70" s="482"/>
      <c r="GA70" s="482"/>
      <c r="GB70" s="482"/>
      <c r="GC70" s="482"/>
      <c r="GD70" s="482"/>
      <c r="GE70" s="482"/>
      <c r="GF70" s="482"/>
      <c r="GG70" s="482"/>
      <c r="GH70" s="482"/>
      <c r="GI70" s="482"/>
      <c r="GJ70" s="482"/>
      <c r="GK70" s="482"/>
      <c r="GL70" s="482"/>
      <c r="GM70" s="482"/>
      <c r="GN70" s="482"/>
      <c r="GO70" s="482"/>
      <c r="GP70" s="482"/>
      <c r="GQ70" s="482"/>
      <c r="GR70" s="482"/>
      <c r="GS70" s="482"/>
      <c r="GT70" s="482"/>
      <c r="GU70" s="482"/>
      <c r="GV70" s="482"/>
      <c r="GW70" s="482"/>
      <c r="GX70" s="482"/>
      <c r="GY70" s="482"/>
      <c r="GZ70" s="482"/>
      <c r="HA70" s="482"/>
      <c r="HB70" s="482"/>
      <c r="HC70" s="482"/>
      <c r="HD70" s="482"/>
      <c r="HE70" s="482"/>
      <c r="HF70" s="482"/>
      <c r="HG70" s="482"/>
      <c r="HH70" s="482"/>
      <c r="HI70" s="482"/>
      <c r="HJ70" s="482"/>
      <c r="HK70" s="482"/>
      <c r="HL70" s="482"/>
      <c r="HM70" s="482"/>
      <c r="HN70" s="482"/>
      <c r="HO70" s="482"/>
      <c r="HP70" s="482"/>
      <c r="HQ70" s="482"/>
      <c r="HR70" s="482"/>
      <c r="HS70" s="482"/>
      <c r="HT70" s="482"/>
      <c r="HU70" s="482"/>
      <c r="HV70" s="482"/>
      <c r="HW70" s="482"/>
      <c r="HX70" s="482"/>
      <c r="HY70" s="482"/>
      <c r="HZ70" s="482"/>
      <c r="IA70" s="482"/>
      <c r="IB70" s="482"/>
      <c r="IC70" s="482"/>
      <c r="ID70" s="482"/>
      <c r="IE70" s="482"/>
      <c r="IF70" s="482"/>
      <c r="IG70" s="482"/>
      <c r="IH70" s="482"/>
      <c r="II70" s="482"/>
      <c r="IJ70" s="482"/>
      <c r="IK70" s="482"/>
      <c r="IL70" s="482"/>
      <c r="IM70" s="482"/>
      <c r="IN70" s="482"/>
      <c r="IO70" s="482"/>
      <c r="IP70" s="482"/>
      <c r="IQ70" s="482"/>
      <c r="IR70" s="482"/>
    </row>
    <row r="71" spans="1:252" ht="15" customHeight="1">
      <c r="A71" s="652" t="s">
        <v>950</v>
      </c>
      <c r="B71" s="662" t="s">
        <v>951</v>
      </c>
      <c r="C71" s="498"/>
      <c r="D71" s="489"/>
      <c r="E71" s="490"/>
      <c r="F71" s="654"/>
      <c r="G71" s="498"/>
      <c r="H71" s="489"/>
      <c r="I71" s="490"/>
      <c r="J71" s="654"/>
      <c r="K71" s="654"/>
      <c r="L71" s="654"/>
      <c r="M71" s="654"/>
      <c r="N71" s="654"/>
      <c r="O71" s="654"/>
      <c r="P71" s="655"/>
      <c r="Q71" s="482"/>
      <c r="R71" s="482"/>
      <c r="S71" s="482"/>
      <c r="T71" s="482"/>
      <c r="U71" s="482"/>
      <c r="V71" s="482"/>
      <c r="W71" s="482"/>
      <c r="X71" s="482"/>
      <c r="Y71" s="482"/>
      <c r="Z71" s="482"/>
      <c r="AA71" s="482"/>
      <c r="AB71" s="482"/>
      <c r="AC71" s="482"/>
      <c r="AD71" s="482"/>
      <c r="AE71" s="482"/>
      <c r="AF71" s="482"/>
      <c r="AG71" s="482"/>
      <c r="AH71" s="482"/>
      <c r="AI71" s="482"/>
      <c r="AJ71" s="482"/>
      <c r="AK71" s="482"/>
      <c r="AL71" s="482"/>
      <c r="AM71" s="482"/>
      <c r="AN71" s="482"/>
      <c r="AO71" s="482"/>
      <c r="AP71" s="482"/>
      <c r="AQ71" s="482"/>
      <c r="AR71" s="482"/>
      <c r="AS71" s="482"/>
      <c r="AT71" s="482"/>
      <c r="AU71" s="482"/>
      <c r="AV71" s="482"/>
      <c r="AW71" s="482"/>
      <c r="AX71" s="482"/>
      <c r="AY71" s="482"/>
      <c r="AZ71" s="482"/>
      <c r="BA71" s="482"/>
      <c r="BB71" s="482"/>
      <c r="BC71" s="482"/>
      <c r="BD71" s="482"/>
      <c r="BE71" s="482"/>
      <c r="BF71" s="482"/>
      <c r="BG71" s="482"/>
      <c r="BH71" s="482"/>
      <c r="BI71" s="482"/>
      <c r="BJ71" s="482"/>
      <c r="BK71" s="482"/>
      <c r="BL71" s="482"/>
      <c r="BM71" s="482"/>
      <c r="BN71" s="482"/>
      <c r="BO71" s="482"/>
      <c r="BP71" s="482"/>
      <c r="BQ71" s="482"/>
      <c r="BR71" s="482"/>
      <c r="BS71" s="482"/>
      <c r="BT71" s="482"/>
      <c r="BU71" s="482"/>
      <c r="BV71" s="482"/>
      <c r="BW71" s="482"/>
      <c r="BX71" s="482"/>
      <c r="BY71" s="482"/>
      <c r="BZ71" s="482"/>
      <c r="CA71" s="482"/>
      <c r="CB71" s="482"/>
      <c r="CC71" s="482"/>
      <c r="CD71" s="482"/>
      <c r="CE71" s="482"/>
      <c r="CF71" s="482"/>
      <c r="CG71" s="482"/>
      <c r="CH71" s="482"/>
      <c r="CI71" s="482"/>
      <c r="CJ71" s="482"/>
      <c r="CK71" s="482"/>
      <c r="CL71" s="482"/>
      <c r="CM71" s="482"/>
      <c r="CN71" s="482"/>
      <c r="CO71" s="482"/>
      <c r="CP71" s="482"/>
      <c r="CQ71" s="482"/>
      <c r="CR71" s="482"/>
      <c r="CS71" s="482"/>
      <c r="CT71" s="482"/>
      <c r="CU71" s="482"/>
      <c r="CV71" s="482"/>
      <c r="CW71" s="482"/>
      <c r="CX71" s="482"/>
      <c r="CY71" s="482"/>
      <c r="CZ71" s="482"/>
      <c r="DA71" s="482"/>
      <c r="DB71" s="482"/>
      <c r="DC71" s="482"/>
      <c r="DD71" s="482"/>
      <c r="DE71" s="482"/>
      <c r="DF71" s="482"/>
      <c r="DG71" s="482"/>
      <c r="DH71" s="482"/>
      <c r="DI71" s="482"/>
      <c r="DJ71" s="482"/>
      <c r="DK71" s="482"/>
      <c r="DL71" s="482"/>
      <c r="DM71" s="482"/>
      <c r="DN71" s="482"/>
      <c r="DO71" s="482"/>
      <c r="DP71" s="482"/>
      <c r="DQ71" s="482"/>
      <c r="DR71" s="482"/>
      <c r="DS71" s="482"/>
      <c r="DT71" s="482"/>
      <c r="DU71" s="482"/>
      <c r="DV71" s="482"/>
      <c r="DW71" s="482"/>
      <c r="DX71" s="482"/>
      <c r="DY71" s="482"/>
      <c r="DZ71" s="482"/>
      <c r="EA71" s="482"/>
      <c r="EB71" s="482"/>
      <c r="EC71" s="482"/>
      <c r="ED71" s="482"/>
      <c r="EE71" s="482"/>
      <c r="EF71" s="482"/>
      <c r="EG71" s="482"/>
      <c r="EH71" s="482"/>
      <c r="EI71" s="482"/>
      <c r="EJ71" s="482"/>
      <c r="EK71" s="482"/>
      <c r="EL71" s="482"/>
      <c r="EM71" s="482"/>
      <c r="EN71" s="482"/>
      <c r="EO71" s="482"/>
      <c r="EP71" s="482"/>
      <c r="EQ71" s="482"/>
      <c r="ER71" s="482"/>
      <c r="ES71" s="482"/>
      <c r="ET71" s="482"/>
      <c r="EU71" s="482"/>
      <c r="EV71" s="482"/>
      <c r="EW71" s="482"/>
      <c r="EX71" s="482"/>
      <c r="EY71" s="482"/>
      <c r="EZ71" s="482"/>
      <c r="FA71" s="482"/>
      <c r="FB71" s="482"/>
      <c r="FC71" s="482"/>
      <c r="FD71" s="482"/>
      <c r="FE71" s="482"/>
      <c r="FF71" s="482"/>
      <c r="FG71" s="482"/>
      <c r="FH71" s="482"/>
      <c r="FI71" s="482"/>
      <c r="FJ71" s="482"/>
      <c r="FK71" s="482"/>
      <c r="FL71" s="482"/>
      <c r="FM71" s="482"/>
      <c r="FN71" s="482"/>
      <c r="FO71" s="482"/>
      <c r="FP71" s="482"/>
      <c r="FQ71" s="482"/>
      <c r="FR71" s="482"/>
      <c r="FS71" s="482"/>
      <c r="FT71" s="482"/>
      <c r="FU71" s="482"/>
      <c r="FV71" s="482"/>
      <c r="FW71" s="482"/>
      <c r="FX71" s="482"/>
      <c r="FY71" s="482"/>
      <c r="FZ71" s="482"/>
      <c r="GA71" s="482"/>
      <c r="GB71" s="482"/>
      <c r="GC71" s="482"/>
      <c r="GD71" s="482"/>
      <c r="GE71" s="482"/>
      <c r="GF71" s="482"/>
      <c r="GG71" s="482"/>
      <c r="GH71" s="482"/>
      <c r="GI71" s="482"/>
      <c r="GJ71" s="482"/>
      <c r="GK71" s="482"/>
      <c r="GL71" s="482"/>
      <c r="GM71" s="482"/>
      <c r="GN71" s="482"/>
      <c r="GO71" s="482"/>
      <c r="GP71" s="482"/>
      <c r="GQ71" s="482"/>
      <c r="GR71" s="482"/>
      <c r="GS71" s="482"/>
      <c r="GT71" s="482"/>
      <c r="GU71" s="482"/>
      <c r="GV71" s="482"/>
      <c r="GW71" s="482"/>
      <c r="GX71" s="482"/>
      <c r="GY71" s="482"/>
      <c r="GZ71" s="482"/>
      <c r="HA71" s="482"/>
      <c r="HB71" s="482"/>
      <c r="HC71" s="482"/>
      <c r="HD71" s="482"/>
      <c r="HE71" s="482"/>
      <c r="HF71" s="482"/>
      <c r="HG71" s="482"/>
      <c r="HH71" s="482"/>
      <c r="HI71" s="482"/>
      <c r="HJ71" s="482"/>
      <c r="HK71" s="482"/>
      <c r="HL71" s="482"/>
      <c r="HM71" s="482"/>
      <c r="HN71" s="482"/>
      <c r="HO71" s="482"/>
      <c r="HP71" s="482"/>
      <c r="HQ71" s="482"/>
      <c r="HR71" s="482"/>
      <c r="HS71" s="482"/>
      <c r="HT71" s="482"/>
      <c r="HU71" s="482"/>
      <c r="HV71" s="482"/>
      <c r="HW71" s="482"/>
      <c r="HX71" s="482"/>
      <c r="HY71" s="482"/>
      <c r="HZ71" s="482"/>
      <c r="IA71" s="482"/>
      <c r="IB71" s="482"/>
      <c r="IC71" s="482"/>
      <c r="ID71" s="482"/>
      <c r="IE71" s="482"/>
      <c r="IF71" s="482"/>
      <c r="IG71" s="482"/>
      <c r="IH71" s="482"/>
      <c r="II71" s="482"/>
      <c r="IJ71" s="482"/>
      <c r="IK71" s="482"/>
      <c r="IL71" s="482"/>
      <c r="IM71" s="482"/>
      <c r="IN71" s="482"/>
      <c r="IO71" s="482"/>
      <c r="IP71" s="482"/>
      <c r="IQ71" s="482"/>
      <c r="IR71" s="482"/>
    </row>
    <row r="72" spans="1:252" ht="15" customHeight="1">
      <c r="A72" s="652" t="s">
        <v>952</v>
      </c>
      <c r="B72" s="663" t="s">
        <v>953</v>
      </c>
      <c r="C72" s="498"/>
      <c r="D72" s="489"/>
      <c r="E72" s="490"/>
      <c r="F72" s="654"/>
      <c r="G72" s="498"/>
      <c r="H72" s="489"/>
      <c r="I72" s="490"/>
      <c r="J72" s="654"/>
      <c r="K72" s="654"/>
      <c r="L72" s="654"/>
      <c r="M72" s="654"/>
      <c r="N72" s="654"/>
      <c r="O72" s="654"/>
      <c r="P72" s="655"/>
      <c r="Q72" s="482"/>
      <c r="R72" s="482"/>
      <c r="S72" s="482"/>
      <c r="T72" s="482"/>
      <c r="U72" s="482"/>
      <c r="V72" s="482"/>
      <c r="W72" s="482"/>
      <c r="X72" s="482"/>
      <c r="Y72" s="482"/>
      <c r="Z72" s="482"/>
      <c r="AA72" s="482"/>
      <c r="AB72" s="482"/>
      <c r="AC72" s="482"/>
      <c r="AD72" s="482"/>
      <c r="AE72" s="482"/>
      <c r="AF72" s="482"/>
      <c r="AG72" s="482"/>
      <c r="AH72" s="482"/>
      <c r="AI72" s="482"/>
      <c r="AJ72" s="482"/>
      <c r="AK72" s="482"/>
      <c r="AL72" s="482"/>
      <c r="AM72" s="482"/>
      <c r="AN72" s="482"/>
      <c r="AO72" s="482"/>
      <c r="AP72" s="482"/>
      <c r="AQ72" s="482"/>
      <c r="AR72" s="482"/>
      <c r="AS72" s="482"/>
      <c r="AT72" s="482"/>
      <c r="AU72" s="482"/>
      <c r="AV72" s="482"/>
      <c r="AW72" s="482"/>
      <c r="AX72" s="482"/>
      <c r="AY72" s="482"/>
      <c r="AZ72" s="482"/>
      <c r="BA72" s="482"/>
      <c r="BB72" s="482"/>
      <c r="BC72" s="482"/>
      <c r="BD72" s="482"/>
      <c r="BE72" s="482"/>
      <c r="BF72" s="482"/>
      <c r="BG72" s="482"/>
      <c r="BH72" s="482"/>
      <c r="BI72" s="482"/>
      <c r="BJ72" s="482"/>
      <c r="BK72" s="482"/>
      <c r="BL72" s="482"/>
      <c r="BM72" s="482"/>
      <c r="BN72" s="482"/>
      <c r="BO72" s="482"/>
      <c r="BP72" s="482"/>
      <c r="BQ72" s="482"/>
      <c r="BR72" s="482"/>
      <c r="BS72" s="482"/>
      <c r="BT72" s="482"/>
      <c r="BU72" s="482"/>
      <c r="BV72" s="482"/>
      <c r="BW72" s="482"/>
      <c r="BX72" s="482"/>
      <c r="BY72" s="482"/>
      <c r="BZ72" s="482"/>
      <c r="CA72" s="482"/>
      <c r="CB72" s="482"/>
      <c r="CC72" s="482"/>
      <c r="CD72" s="482"/>
      <c r="CE72" s="482"/>
      <c r="CF72" s="482"/>
      <c r="CG72" s="482"/>
      <c r="CH72" s="482"/>
      <c r="CI72" s="482"/>
      <c r="CJ72" s="482"/>
      <c r="CK72" s="482"/>
      <c r="CL72" s="482"/>
      <c r="CM72" s="482"/>
      <c r="CN72" s="482"/>
      <c r="CO72" s="482"/>
      <c r="CP72" s="482"/>
      <c r="CQ72" s="482"/>
      <c r="CR72" s="482"/>
      <c r="CS72" s="482"/>
      <c r="CT72" s="482"/>
      <c r="CU72" s="482"/>
      <c r="CV72" s="482"/>
      <c r="CW72" s="482"/>
      <c r="CX72" s="482"/>
      <c r="CY72" s="482"/>
      <c r="CZ72" s="482"/>
      <c r="DA72" s="482"/>
      <c r="DB72" s="482"/>
      <c r="DC72" s="482"/>
      <c r="DD72" s="482"/>
      <c r="DE72" s="482"/>
      <c r="DF72" s="482"/>
      <c r="DG72" s="482"/>
      <c r="DH72" s="482"/>
      <c r="DI72" s="482"/>
      <c r="DJ72" s="482"/>
      <c r="DK72" s="482"/>
      <c r="DL72" s="482"/>
      <c r="DM72" s="482"/>
      <c r="DN72" s="482"/>
      <c r="DO72" s="482"/>
      <c r="DP72" s="482"/>
      <c r="DQ72" s="482"/>
      <c r="DR72" s="482"/>
      <c r="DS72" s="482"/>
      <c r="DT72" s="482"/>
      <c r="DU72" s="482"/>
      <c r="DV72" s="482"/>
      <c r="DW72" s="482"/>
      <c r="DX72" s="482"/>
      <c r="DY72" s="482"/>
      <c r="DZ72" s="482"/>
      <c r="EA72" s="482"/>
      <c r="EB72" s="482"/>
      <c r="EC72" s="482"/>
      <c r="ED72" s="482"/>
      <c r="EE72" s="482"/>
      <c r="EF72" s="482"/>
      <c r="EG72" s="482"/>
      <c r="EH72" s="482"/>
      <c r="EI72" s="482"/>
      <c r="EJ72" s="482"/>
      <c r="EK72" s="482"/>
      <c r="EL72" s="482"/>
      <c r="EM72" s="482"/>
      <c r="EN72" s="482"/>
      <c r="EO72" s="482"/>
      <c r="EP72" s="482"/>
      <c r="EQ72" s="482"/>
      <c r="ER72" s="482"/>
      <c r="ES72" s="482"/>
      <c r="ET72" s="482"/>
      <c r="EU72" s="482"/>
      <c r="EV72" s="482"/>
      <c r="EW72" s="482"/>
      <c r="EX72" s="482"/>
      <c r="EY72" s="482"/>
      <c r="EZ72" s="482"/>
      <c r="FA72" s="482"/>
      <c r="FB72" s="482"/>
      <c r="FC72" s="482"/>
      <c r="FD72" s="482"/>
      <c r="FE72" s="482"/>
      <c r="FF72" s="482"/>
      <c r="FG72" s="482"/>
      <c r="FH72" s="482"/>
      <c r="FI72" s="482"/>
      <c r="FJ72" s="482"/>
      <c r="FK72" s="482"/>
      <c r="FL72" s="482"/>
      <c r="FM72" s="482"/>
      <c r="FN72" s="482"/>
      <c r="FO72" s="482"/>
      <c r="FP72" s="482"/>
      <c r="FQ72" s="482"/>
      <c r="FR72" s="482"/>
      <c r="FS72" s="482"/>
      <c r="FT72" s="482"/>
      <c r="FU72" s="482"/>
      <c r="FV72" s="482"/>
      <c r="FW72" s="482"/>
      <c r="FX72" s="482"/>
      <c r="FY72" s="482"/>
      <c r="FZ72" s="482"/>
      <c r="GA72" s="482"/>
      <c r="GB72" s="482"/>
      <c r="GC72" s="482"/>
      <c r="GD72" s="482"/>
      <c r="GE72" s="482"/>
      <c r="GF72" s="482"/>
      <c r="GG72" s="482"/>
      <c r="GH72" s="482"/>
      <c r="GI72" s="482"/>
      <c r="GJ72" s="482"/>
      <c r="GK72" s="482"/>
      <c r="GL72" s="482"/>
      <c r="GM72" s="482"/>
      <c r="GN72" s="482"/>
      <c r="GO72" s="482"/>
      <c r="GP72" s="482"/>
      <c r="GQ72" s="482"/>
      <c r="GR72" s="482"/>
      <c r="GS72" s="482"/>
      <c r="GT72" s="482"/>
      <c r="GU72" s="482"/>
      <c r="GV72" s="482"/>
      <c r="GW72" s="482"/>
      <c r="GX72" s="482"/>
      <c r="GY72" s="482"/>
      <c r="GZ72" s="482"/>
      <c r="HA72" s="482"/>
      <c r="HB72" s="482"/>
      <c r="HC72" s="482"/>
      <c r="HD72" s="482"/>
      <c r="HE72" s="482"/>
      <c r="HF72" s="482"/>
      <c r="HG72" s="482"/>
      <c r="HH72" s="482"/>
      <c r="HI72" s="482"/>
      <c r="HJ72" s="482"/>
      <c r="HK72" s="482"/>
      <c r="HL72" s="482"/>
      <c r="HM72" s="482"/>
      <c r="HN72" s="482"/>
      <c r="HO72" s="482"/>
      <c r="HP72" s="482"/>
      <c r="HQ72" s="482"/>
      <c r="HR72" s="482"/>
      <c r="HS72" s="482"/>
      <c r="HT72" s="482"/>
      <c r="HU72" s="482"/>
      <c r="HV72" s="482"/>
      <c r="HW72" s="482"/>
      <c r="HX72" s="482"/>
      <c r="HY72" s="482"/>
      <c r="HZ72" s="482"/>
      <c r="IA72" s="482"/>
      <c r="IB72" s="482"/>
      <c r="IC72" s="482"/>
      <c r="ID72" s="482"/>
      <c r="IE72" s="482"/>
      <c r="IF72" s="482"/>
      <c r="IG72" s="482"/>
      <c r="IH72" s="482"/>
      <c r="II72" s="482"/>
      <c r="IJ72" s="482"/>
      <c r="IK72" s="482"/>
      <c r="IL72" s="482"/>
      <c r="IM72" s="482"/>
      <c r="IN72" s="482"/>
      <c r="IO72" s="482"/>
      <c r="IP72" s="482"/>
      <c r="IQ72" s="482"/>
      <c r="IR72" s="482"/>
    </row>
    <row r="73" spans="1:252" ht="15" customHeight="1">
      <c r="A73" s="640" t="s">
        <v>954</v>
      </c>
      <c r="B73" s="656" t="s">
        <v>955</v>
      </c>
      <c r="C73" s="498"/>
      <c r="D73" s="489"/>
      <c r="E73" s="490"/>
      <c r="F73" s="642">
        <v>88000000</v>
      </c>
      <c r="G73" s="498"/>
      <c r="H73" s="489"/>
      <c r="I73" s="490"/>
      <c r="J73" s="642">
        <v>97200000</v>
      </c>
      <c r="K73" s="642">
        <v>97200</v>
      </c>
      <c r="L73" s="642">
        <v>97200</v>
      </c>
      <c r="M73" s="642">
        <v>97200</v>
      </c>
      <c r="N73" s="642">
        <v>97200</v>
      </c>
      <c r="O73" s="642">
        <v>97200</v>
      </c>
      <c r="P73" s="643">
        <v>97200</v>
      </c>
      <c r="Q73" s="482"/>
      <c r="R73" s="482"/>
      <c r="S73" s="482"/>
      <c r="T73" s="482"/>
      <c r="U73" s="482"/>
      <c r="V73" s="482"/>
      <c r="W73" s="482"/>
      <c r="X73" s="482"/>
      <c r="Y73" s="482"/>
      <c r="Z73" s="482"/>
      <c r="AA73" s="482"/>
      <c r="AB73" s="482"/>
      <c r="AC73" s="482"/>
      <c r="AD73" s="482"/>
      <c r="AE73" s="482"/>
      <c r="AF73" s="482"/>
      <c r="AG73" s="482"/>
      <c r="AH73" s="482"/>
      <c r="AI73" s="482"/>
      <c r="AJ73" s="482"/>
      <c r="AK73" s="482"/>
      <c r="AL73" s="482"/>
      <c r="AM73" s="482"/>
      <c r="AN73" s="482"/>
      <c r="AO73" s="482"/>
      <c r="AP73" s="482"/>
      <c r="AQ73" s="482"/>
      <c r="AR73" s="482"/>
      <c r="AS73" s="482"/>
      <c r="AT73" s="482"/>
      <c r="AU73" s="482"/>
      <c r="AV73" s="482"/>
      <c r="AW73" s="482"/>
      <c r="AX73" s="482"/>
      <c r="AY73" s="482"/>
      <c r="AZ73" s="482"/>
      <c r="BA73" s="482"/>
      <c r="BB73" s="482"/>
      <c r="BC73" s="482"/>
      <c r="BD73" s="482"/>
      <c r="BE73" s="482"/>
      <c r="BF73" s="482"/>
      <c r="BG73" s="482"/>
      <c r="BH73" s="482"/>
      <c r="BI73" s="482"/>
      <c r="BJ73" s="482"/>
      <c r="BK73" s="482"/>
      <c r="BL73" s="482"/>
      <c r="BM73" s="482"/>
      <c r="BN73" s="482"/>
      <c r="BO73" s="482"/>
      <c r="BP73" s="482"/>
      <c r="BQ73" s="482"/>
      <c r="BR73" s="482"/>
      <c r="BS73" s="482"/>
      <c r="BT73" s="482"/>
      <c r="BU73" s="482"/>
      <c r="BV73" s="482"/>
      <c r="BW73" s="482"/>
      <c r="BX73" s="482"/>
      <c r="BY73" s="482"/>
      <c r="BZ73" s="482"/>
      <c r="CA73" s="482"/>
      <c r="CB73" s="482"/>
      <c r="CC73" s="482"/>
      <c r="CD73" s="482"/>
      <c r="CE73" s="482"/>
      <c r="CF73" s="482"/>
      <c r="CG73" s="482"/>
      <c r="CH73" s="482"/>
      <c r="CI73" s="482"/>
      <c r="CJ73" s="482"/>
      <c r="CK73" s="482"/>
      <c r="CL73" s="482"/>
      <c r="CM73" s="482"/>
      <c r="CN73" s="482"/>
      <c r="CO73" s="482"/>
      <c r="CP73" s="482"/>
      <c r="CQ73" s="482"/>
      <c r="CR73" s="482"/>
      <c r="CS73" s="482"/>
      <c r="CT73" s="482"/>
      <c r="CU73" s="482"/>
      <c r="CV73" s="482"/>
      <c r="CW73" s="482"/>
      <c r="CX73" s="482"/>
      <c r="CY73" s="482"/>
      <c r="CZ73" s="482"/>
      <c r="DA73" s="482"/>
      <c r="DB73" s="482"/>
      <c r="DC73" s="482"/>
      <c r="DD73" s="482"/>
      <c r="DE73" s="482"/>
      <c r="DF73" s="482"/>
      <c r="DG73" s="482"/>
      <c r="DH73" s="482"/>
      <c r="DI73" s="482"/>
      <c r="DJ73" s="482"/>
      <c r="DK73" s="482"/>
      <c r="DL73" s="482"/>
      <c r="DM73" s="482"/>
      <c r="DN73" s="482"/>
      <c r="DO73" s="482"/>
      <c r="DP73" s="482"/>
      <c r="DQ73" s="482"/>
      <c r="DR73" s="482"/>
      <c r="DS73" s="482"/>
      <c r="DT73" s="482"/>
      <c r="DU73" s="482"/>
      <c r="DV73" s="482"/>
      <c r="DW73" s="482"/>
      <c r="DX73" s="482"/>
      <c r="DY73" s="482"/>
      <c r="DZ73" s="482"/>
      <c r="EA73" s="482"/>
      <c r="EB73" s="482"/>
      <c r="EC73" s="482"/>
      <c r="ED73" s="482"/>
      <c r="EE73" s="482"/>
      <c r="EF73" s="482"/>
      <c r="EG73" s="482"/>
      <c r="EH73" s="482"/>
      <c r="EI73" s="482"/>
      <c r="EJ73" s="482"/>
      <c r="EK73" s="482"/>
      <c r="EL73" s="482"/>
      <c r="EM73" s="482"/>
      <c r="EN73" s="482"/>
      <c r="EO73" s="482"/>
      <c r="EP73" s="482"/>
      <c r="EQ73" s="482"/>
      <c r="ER73" s="482"/>
      <c r="ES73" s="482"/>
      <c r="ET73" s="482"/>
      <c r="EU73" s="482"/>
      <c r="EV73" s="482"/>
      <c r="EW73" s="482"/>
      <c r="EX73" s="482"/>
      <c r="EY73" s="482"/>
      <c r="EZ73" s="482"/>
      <c r="FA73" s="482"/>
      <c r="FB73" s="482"/>
      <c r="FC73" s="482"/>
      <c r="FD73" s="482"/>
      <c r="FE73" s="482"/>
      <c r="FF73" s="482"/>
      <c r="FG73" s="482"/>
      <c r="FH73" s="482"/>
      <c r="FI73" s="482"/>
      <c r="FJ73" s="482"/>
      <c r="FK73" s="482"/>
      <c r="FL73" s="482"/>
      <c r="FM73" s="482"/>
      <c r="FN73" s="482"/>
      <c r="FO73" s="482"/>
      <c r="FP73" s="482"/>
      <c r="FQ73" s="482"/>
      <c r="FR73" s="482"/>
      <c r="FS73" s="482"/>
      <c r="FT73" s="482"/>
      <c r="FU73" s="482"/>
      <c r="FV73" s="482"/>
      <c r="FW73" s="482"/>
      <c r="FX73" s="482"/>
      <c r="FY73" s="482"/>
      <c r="FZ73" s="482"/>
      <c r="GA73" s="482"/>
      <c r="GB73" s="482"/>
      <c r="GC73" s="482"/>
      <c r="GD73" s="482"/>
      <c r="GE73" s="482"/>
      <c r="GF73" s="482"/>
      <c r="GG73" s="482"/>
      <c r="GH73" s="482"/>
      <c r="GI73" s="482"/>
      <c r="GJ73" s="482"/>
      <c r="GK73" s="482"/>
      <c r="GL73" s="482"/>
      <c r="GM73" s="482"/>
      <c r="GN73" s="482"/>
      <c r="GO73" s="482"/>
      <c r="GP73" s="482"/>
      <c r="GQ73" s="482"/>
      <c r="GR73" s="482"/>
      <c r="GS73" s="482"/>
      <c r="GT73" s="482"/>
      <c r="GU73" s="482"/>
      <c r="GV73" s="482"/>
      <c r="GW73" s="482"/>
      <c r="GX73" s="482"/>
      <c r="GY73" s="482"/>
      <c r="GZ73" s="482"/>
      <c r="HA73" s="482"/>
      <c r="HB73" s="482"/>
      <c r="HC73" s="482"/>
      <c r="HD73" s="482"/>
      <c r="HE73" s="482"/>
      <c r="HF73" s="482"/>
      <c r="HG73" s="482"/>
      <c r="HH73" s="482"/>
      <c r="HI73" s="482"/>
      <c r="HJ73" s="482"/>
      <c r="HK73" s="482"/>
      <c r="HL73" s="482"/>
      <c r="HM73" s="482"/>
      <c r="HN73" s="482"/>
      <c r="HO73" s="482"/>
      <c r="HP73" s="482"/>
      <c r="HQ73" s="482"/>
      <c r="HR73" s="482"/>
      <c r="HS73" s="482"/>
      <c r="HT73" s="482"/>
      <c r="HU73" s="482"/>
      <c r="HV73" s="482"/>
      <c r="HW73" s="482"/>
      <c r="HX73" s="482"/>
      <c r="HY73" s="482"/>
      <c r="HZ73" s="482"/>
      <c r="IA73" s="482"/>
      <c r="IB73" s="482"/>
      <c r="IC73" s="482"/>
      <c r="ID73" s="482"/>
      <c r="IE73" s="482"/>
      <c r="IF73" s="482"/>
      <c r="IG73" s="482"/>
      <c r="IH73" s="482"/>
      <c r="II73" s="482"/>
      <c r="IJ73" s="482"/>
      <c r="IK73" s="482"/>
      <c r="IL73" s="482"/>
      <c r="IM73" s="482"/>
      <c r="IN73" s="482"/>
      <c r="IO73" s="482"/>
      <c r="IP73" s="482"/>
      <c r="IQ73" s="482"/>
      <c r="IR73" s="482"/>
    </row>
    <row r="74" spans="1:252" ht="15" customHeight="1">
      <c r="A74" s="640" t="s">
        <v>956</v>
      </c>
      <c r="B74" s="645" t="s">
        <v>957</v>
      </c>
      <c r="C74" s="490">
        <v>23733</v>
      </c>
      <c r="D74" s="489" t="s">
        <v>832</v>
      </c>
      <c r="E74" s="490">
        <v>1140</v>
      </c>
      <c r="F74" s="642">
        <f>C74*E74</f>
        <v>27055620</v>
      </c>
      <c r="G74" s="490">
        <v>23630</v>
      </c>
      <c r="H74" s="489" t="s">
        <v>832</v>
      </c>
      <c r="I74" s="490">
        <v>1140</v>
      </c>
      <c r="J74" s="642">
        <f>G74*I74</f>
        <v>26938200</v>
      </c>
      <c r="K74" s="642">
        <v>26938</v>
      </c>
      <c r="L74" s="642">
        <v>26938</v>
      </c>
      <c r="M74" s="642">
        <v>26938</v>
      </c>
      <c r="N74" s="642">
        <v>26938</v>
      </c>
      <c r="O74" s="642">
        <v>26938</v>
      </c>
      <c r="P74" s="643">
        <v>26938</v>
      </c>
      <c r="Q74" s="482"/>
      <c r="R74" s="482"/>
      <c r="S74" s="482"/>
      <c r="T74" s="482"/>
      <c r="U74" s="482"/>
      <c r="V74" s="482"/>
      <c r="W74" s="482"/>
      <c r="X74" s="482"/>
      <c r="Y74" s="482"/>
      <c r="Z74" s="482"/>
      <c r="AA74" s="482"/>
      <c r="AB74" s="482"/>
      <c r="AC74" s="482"/>
      <c r="AD74" s="482"/>
      <c r="AE74" s="482"/>
      <c r="AF74" s="482"/>
      <c r="AG74" s="482"/>
      <c r="AH74" s="482"/>
      <c r="AI74" s="482"/>
      <c r="AJ74" s="482"/>
      <c r="AK74" s="482"/>
      <c r="AL74" s="482"/>
      <c r="AM74" s="482"/>
      <c r="AN74" s="482"/>
      <c r="AO74" s="482"/>
      <c r="AP74" s="482"/>
      <c r="AQ74" s="482"/>
      <c r="AR74" s="482"/>
      <c r="AS74" s="482"/>
      <c r="AT74" s="482"/>
      <c r="AU74" s="482"/>
      <c r="AV74" s="482"/>
      <c r="AW74" s="482"/>
      <c r="AX74" s="482"/>
      <c r="AY74" s="482"/>
      <c r="AZ74" s="482"/>
      <c r="BA74" s="482"/>
      <c r="BB74" s="482"/>
      <c r="BC74" s="482"/>
      <c r="BD74" s="482"/>
      <c r="BE74" s="482"/>
      <c r="BF74" s="482"/>
      <c r="BG74" s="482"/>
      <c r="BH74" s="482"/>
      <c r="BI74" s="482"/>
      <c r="BJ74" s="482"/>
      <c r="BK74" s="482"/>
      <c r="BL74" s="482"/>
      <c r="BM74" s="482"/>
      <c r="BN74" s="482"/>
      <c r="BO74" s="482"/>
      <c r="BP74" s="482"/>
      <c r="BQ74" s="482"/>
      <c r="BR74" s="482"/>
      <c r="BS74" s="482"/>
      <c r="BT74" s="482"/>
      <c r="BU74" s="482"/>
      <c r="BV74" s="482"/>
      <c r="BW74" s="482"/>
      <c r="BX74" s="482"/>
      <c r="BY74" s="482"/>
      <c r="BZ74" s="482"/>
      <c r="CA74" s="482"/>
      <c r="CB74" s="482"/>
      <c r="CC74" s="482"/>
      <c r="CD74" s="482"/>
      <c r="CE74" s="482"/>
      <c r="CF74" s="482"/>
      <c r="CG74" s="482"/>
      <c r="CH74" s="482"/>
      <c r="CI74" s="482"/>
      <c r="CJ74" s="482"/>
      <c r="CK74" s="482"/>
      <c r="CL74" s="482"/>
      <c r="CM74" s="482"/>
      <c r="CN74" s="482"/>
      <c r="CO74" s="482"/>
      <c r="CP74" s="482"/>
      <c r="CQ74" s="482"/>
      <c r="CR74" s="482"/>
      <c r="CS74" s="482"/>
      <c r="CT74" s="482"/>
      <c r="CU74" s="482"/>
      <c r="CV74" s="482"/>
      <c r="CW74" s="482"/>
      <c r="CX74" s="482"/>
      <c r="CY74" s="482"/>
      <c r="CZ74" s="482"/>
      <c r="DA74" s="482"/>
      <c r="DB74" s="482"/>
      <c r="DC74" s="482"/>
      <c r="DD74" s="482"/>
      <c r="DE74" s="482"/>
      <c r="DF74" s="482"/>
      <c r="DG74" s="482"/>
      <c r="DH74" s="482"/>
      <c r="DI74" s="482"/>
      <c r="DJ74" s="482"/>
      <c r="DK74" s="482"/>
      <c r="DL74" s="482"/>
      <c r="DM74" s="482"/>
      <c r="DN74" s="482"/>
      <c r="DO74" s="482"/>
      <c r="DP74" s="482"/>
      <c r="DQ74" s="482"/>
      <c r="DR74" s="482"/>
      <c r="DS74" s="482"/>
      <c r="DT74" s="482"/>
      <c r="DU74" s="482"/>
      <c r="DV74" s="482"/>
      <c r="DW74" s="482"/>
      <c r="DX74" s="482"/>
      <c r="DY74" s="482"/>
      <c r="DZ74" s="482"/>
      <c r="EA74" s="482"/>
      <c r="EB74" s="482"/>
      <c r="EC74" s="482"/>
      <c r="ED74" s="482"/>
      <c r="EE74" s="482"/>
      <c r="EF74" s="482"/>
      <c r="EG74" s="482"/>
      <c r="EH74" s="482"/>
      <c r="EI74" s="482"/>
      <c r="EJ74" s="482"/>
      <c r="EK74" s="482"/>
      <c r="EL74" s="482"/>
      <c r="EM74" s="482"/>
      <c r="EN74" s="482"/>
      <c r="EO74" s="482"/>
      <c r="EP74" s="482"/>
      <c r="EQ74" s="482"/>
      <c r="ER74" s="482"/>
      <c r="ES74" s="482"/>
      <c r="ET74" s="482"/>
      <c r="EU74" s="482"/>
      <c r="EV74" s="482"/>
      <c r="EW74" s="482"/>
      <c r="EX74" s="482"/>
      <c r="EY74" s="482"/>
      <c r="EZ74" s="482"/>
      <c r="FA74" s="482"/>
      <c r="FB74" s="482"/>
      <c r="FC74" s="482"/>
      <c r="FD74" s="482"/>
      <c r="FE74" s="482"/>
      <c r="FF74" s="482"/>
      <c r="FG74" s="482"/>
      <c r="FH74" s="482"/>
      <c r="FI74" s="482"/>
      <c r="FJ74" s="482"/>
      <c r="FK74" s="482"/>
      <c r="FL74" s="482"/>
      <c r="FM74" s="482"/>
      <c r="FN74" s="482"/>
      <c r="FO74" s="482"/>
      <c r="FP74" s="482"/>
      <c r="FQ74" s="482"/>
      <c r="FR74" s="482"/>
      <c r="FS74" s="482"/>
      <c r="FT74" s="482"/>
      <c r="FU74" s="482"/>
      <c r="FV74" s="482"/>
      <c r="FW74" s="482"/>
      <c r="FX74" s="482"/>
      <c r="FY74" s="482"/>
      <c r="FZ74" s="482"/>
      <c r="GA74" s="482"/>
      <c r="GB74" s="482"/>
      <c r="GC74" s="482"/>
      <c r="GD74" s="482"/>
      <c r="GE74" s="482"/>
      <c r="GF74" s="482"/>
      <c r="GG74" s="482"/>
      <c r="GH74" s="482"/>
      <c r="GI74" s="482"/>
      <c r="GJ74" s="482"/>
      <c r="GK74" s="482"/>
      <c r="GL74" s="482"/>
      <c r="GM74" s="482"/>
      <c r="GN74" s="482"/>
      <c r="GO74" s="482"/>
      <c r="GP74" s="482"/>
      <c r="GQ74" s="482"/>
      <c r="GR74" s="482"/>
      <c r="GS74" s="482"/>
      <c r="GT74" s="482"/>
      <c r="GU74" s="482"/>
      <c r="GV74" s="482"/>
      <c r="GW74" s="482"/>
      <c r="GX74" s="482"/>
      <c r="GY74" s="482"/>
      <c r="GZ74" s="482"/>
      <c r="HA74" s="482"/>
      <c r="HB74" s="482"/>
      <c r="HC74" s="482"/>
      <c r="HD74" s="482"/>
      <c r="HE74" s="482"/>
      <c r="HF74" s="482"/>
      <c r="HG74" s="482"/>
      <c r="HH74" s="482"/>
      <c r="HI74" s="482"/>
      <c r="HJ74" s="482"/>
      <c r="HK74" s="482"/>
      <c r="HL74" s="482"/>
      <c r="HM74" s="482"/>
      <c r="HN74" s="482"/>
      <c r="HO74" s="482"/>
      <c r="HP74" s="482"/>
      <c r="HQ74" s="482"/>
      <c r="HR74" s="482"/>
      <c r="HS74" s="482"/>
      <c r="HT74" s="482"/>
      <c r="HU74" s="482"/>
      <c r="HV74" s="482"/>
      <c r="HW74" s="482"/>
      <c r="HX74" s="482"/>
      <c r="HY74" s="482"/>
      <c r="HZ74" s="482"/>
      <c r="IA74" s="482"/>
      <c r="IB74" s="482"/>
      <c r="IC74" s="482"/>
      <c r="ID74" s="482"/>
      <c r="IE74" s="482"/>
      <c r="IF74" s="482"/>
      <c r="IG74" s="482"/>
      <c r="IH74" s="482"/>
      <c r="II74" s="482"/>
      <c r="IJ74" s="482"/>
      <c r="IK74" s="482"/>
      <c r="IL74" s="482"/>
      <c r="IM74" s="482"/>
      <c r="IN74" s="482"/>
      <c r="IO74" s="482"/>
      <c r="IP74" s="482"/>
      <c r="IQ74" s="482"/>
      <c r="IR74" s="482"/>
    </row>
    <row r="75" spans="1:252" ht="15" customHeight="1">
      <c r="A75" s="640" t="s">
        <v>958</v>
      </c>
      <c r="B75" s="645" t="s">
        <v>959</v>
      </c>
      <c r="C75" s="490"/>
      <c r="D75" s="489"/>
      <c r="E75" s="490"/>
      <c r="F75" s="642"/>
      <c r="G75" s="490"/>
      <c r="H75" s="489"/>
      <c r="I75" s="490"/>
      <c r="J75" s="642"/>
      <c r="K75" s="642"/>
      <c r="L75" s="642"/>
      <c r="M75" s="642"/>
      <c r="N75" s="642">
        <v>2150</v>
      </c>
      <c r="O75" s="642">
        <v>2150</v>
      </c>
      <c r="P75" s="643">
        <v>2150</v>
      </c>
      <c r="Q75" s="482"/>
      <c r="R75" s="482"/>
      <c r="S75" s="482"/>
      <c r="T75" s="482"/>
      <c r="U75" s="482"/>
      <c r="V75" s="482"/>
      <c r="W75" s="482"/>
      <c r="X75" s="482"/>
      <c r="Y75" s="482"/>
      <c r="Z75" s="482"/>
      <c r="AA75" s="482"/>
      <c r="AB75" s="482"/>
      <c r="AC75" s="482"/>
      <c r="AD75" s="482"/>
      <c r="AE75" s="482"/>
      <c r="AF75" s="482"/>
      <c r="AG75" s="482"/>
      <c r="AH75" s="482"/>
      <c r="AI75" s="482"/>
      <c r="AJ75" s="482"/>
      <c r="AK75" s="482"/>
      <c r="AL75" s="482"/>
      <c r="AM75" s="482"/>
      <c r="AN75" s="482"/>
      <c r="AO75" s="482"/>
      <c r="AP75" s="482"/>
      <c r="AQ75" s="482"/>
      <c r="AR75" s="482"/>
      <c r="AS75" s="482"/>
      <c r="AT75" s="482"/>
      <c r="AU75" s="482"/>
      <c r="AV75" s="482"/>
      <c r="AW75" s="482"/>
      <c r="AX75" s="482"/>
      <c r="AY75" s="482"/>
      <c r="AZ75" s="482"/>
      <c r="BA75" s="482"/>
      <c r="BB75" s="482"/>
      <c r="BC75" s="482"/>
      <c r="BD75" s="482"/>
      <c r="BE75" s="482"/>
      <c r="BF75" s="482"/>
      <c r="BG75" s="482"/>
      <c r="BH75" s="482"/>
      <c r="BI75" s="482"/>
      <c r="BJ75" s="482"/>
      <c r="BK75" s="482"/>
      <c r="BL75" s="482"/>
      <c r="BM75" s="482"/>
      <c r="BN75" s="482"/>
      <c r="BO75" s="482"/>
      <c r="BP75" s="482"/>
      <c r="BQ75" s="482"/>
      <c r="BR75" s="482"/>
      <c r="BS75" s="482"/>
      <c r="BT75" s="482"/>
      <c r="BU75" s="482"/>
      <c r="BV75" s="482"/>
      <c r="BW75" s="482"/>
      <c r="BX75" s="482"/>
      <c r="BY75" s="482"/>
      <c r="BZ75" s="482"/>
      <c r="CA75" s="482"/>
      <c r="CB75" s="482"/>
      <c r="CC75" s="482"/>
      <c r="CD75" s="482"/>
      <c r="CE75" s="482"/>
      <c r="CF75" s="482"/>
      <c r="CG75" s="482"/>
      <c r="CH75" s="482"/>
      <c r="CI75" s="482"/>
      <c r="CJ75" s="482"/>
      <c r="CK75" s="482"/>
      <c r="CL75" s="482"/>
      <c r="CM75" s="482"/>
      <c r="CN75" s="482"/>
      <c r="CO75" s="482"/>
      <c r="CP75" s="482"/>
      <c r="CQ75" s="482"/>
      <c r="CR75" s="482"/>
      <c r="CS75" s="482"/>
      <c r="CT75" s="482"/>
      <c r="CU75" s="482"/>
      <c r="CV75" s="482"/>
      <c r="CW75" s="482"/>
      <c r="CX75" s="482"/>
      <c r="CY75" s="482"/>
      <c r="CZ75" s="482"/>
      <c r="DA75" s="482"/>
      <c r="DB75" s="482"/>
      <c r="DC75" s="482"/>
      <c r="DD75" s="482"/>
      <c r="DE75" s="482"/>
      <c r="DF75" s="482"/>
      <c r="DG75" s="482"/>
      <c r="DH75" s="482"/>
      <c r="DI75" s="482"/>
      <c r="DJ75" s="482"/>
      <c r="DK75" s="482"/>
      <c r="DL75" s="482"/>
      <c r="DM75" s="482"/>
      <c r="DN75" s="482"/>
      <c r="DO75" s="482"/>
      <c r="DP75" s="482"/>
      <c r="DQ75" s="482"/>
      <c r="DR75" s="482"/>
      <c r="DS75" s="482"/>
      <c r="DT75" s="482"/>
      <c r="DU75" s="482"/>
      <c r="DV75" s="482"/>
      <c r="DW75" s="482"/>
      <c r="DX75" s="482"/>
      <c r="DY75" s="482"/>
      <c r="DZ75" s="482"/>
      <c r="EA75" s="482"/>
      <c r="EB75" s="482"/>
      <c r="EC75" s="482"/>
      <c r="ED75" s="482"/>
      <c r="EE75" s="482"/>
      <c r="EF75" s="482"/>
      <c r="EG75" s="482"/>
      <c r="EH75" s="482"/>
      <c r="EI75" s="482"/>
      <c r="EJ75" s="482"/>
      <c r="EK75" s="482"/>
      <c r="EL75" s="482"/>
      <c r="EM75" s="482"/>
      <c r="EN75" s="482"/>
      <c r="EO75" s="482"/>
      <c r="EP75" s="482"/>
      <c r="EQ75" s="482"/>
      <c r="ER75" s="482"/>
      <c r="ES75" s="482"/>
      <c r="ET75" s="482"/>
      <c r="EU75" s="482"/>
      <c r="EV75" s="482"/>
      <c r="EW75" s="482"/>
      <c r="EX75" s="482"/>
      <c r="EY75" s="482"/>
      <c r="EZ75" s="482"/>
      <c r="FA75" s="482"/>
      <c r="FB75" s="482"/>
      <c r="FC75" s="482"/>
      <c r="FD75" s="482"/>
      <c r="FE75" s="482"/>
      <c r="FF75" s="482"/>
      <c r="FG75" s="482"/>
      <c r="FH75" s="482"/>
      <c r="FI75" s="482"/>
      <c r="FJ75" s="482"/>
      <c r="FK75" s="482"/>
      <c r="FL75" s="482"/>
      <c r="FM75" s="482"/>
      <c r="FN75" s="482"/>
      <c r="FO75" s="482"/>
      <c r="FP75" s="482"/>
      <c r="FQ75" s="482"/>
      <c r="FR75" s="482"/>
      <c r="FS75" s="482"/>
      <c r="FT75" s="482"/>
      <c r="FU75" s="482"/>
      <c r="FV75" s="482"/>
      <c r="FW75" s="482"/>
      <c r="FX75" s="482"/>
      <c r="FY75" s="482"/>
      <c r="FZ75" s="482"/>
      <c r="GA75" s="482"/>
      <c r="GB75" s="482"/>
      <c r="GC75" s="482"/>
      <c r="GD75" s="482"/>
      <c r="GE75" s="482"/>
      <c r="GF75" s="482"/>
      <c r="GG75" s="482"/>
      <c r="GH75" s="482"/>
      <c r="GI75" s="482"/>
      <c r="GJ75" s="482"/>
      <c r="GK75" s="482"/>
      <c r="GL75" s="482"/>
      <c r="GM75" s="482"/>
      <c r="GN75" s="482"/>
      <c r="GO75" s="482"/>
      <c r="GP75" s="482"/>
      <c r="GQ75" s="482"/>
      <c r="GR75" s="482"/>
      <c r="GS75" s="482"/>
      <c r="GT75" s="482"/>
      <c r="GU75" s="482"/>
      <c r="GV75" s="482"/>
      <c r="GW75" s="482"/>
      <c r="GX75" s="482"/>
      <c r="GY75" s="482"/>
      <c r="GZ75" s="482"/>
      <c r="HA75" s="482"/>
      <c r="HB75" s="482"/>
      <c r="HC75" s="482"/>
      <c r="HD75" s="482"/>
      <c r="HE75" s="482"/>
      <c r="HF75" s="482"/>
      <c r="HG75" s="482"/>
      <c r="HH75" s="482"/>
      <c r="HI75" s="482"/>
      <c r="HJ75" s="482"/>
      <c r="HK75" s="482"/>
      <c r="HL75" s="482"/>
      <c r="HM75" s="482"/>
      <c r="HN75" s="482"/>
      <c r="HO75" s="482"/>
      <c r="HP75" s="482"/>
      <c r="HQ75" s="482"/>
      <c r="HR75" s="482"/>
      <c r="HS75" s="482"/>
      <c r="HT75" s="482"/>
      <c r="HU75" s="482"/>
      <c r="HV75" s="482"/>
      <c r="HW75" s="482"/>
      <c r="HX75" s="482"/>
      <c r="HY75" s="482"/>
      <c r="HZ75" s="482"/>
      <c r="IA75" s="482"/>
      <c r="IB75" s="482"/>
      <c r="IC75" s="482"/>
      <c r="ID75" s="482"/>
      <c r="IE75" s="482"/>
      <c r="IF75" s="482"/>
      <c r="IG75" s="482"/>
      <c r="IH75" s="482"/>
      <c r="II75" s="482"/>
      <c r="IJ75" s="482"/>
      <c r="IK75" s="482"/>
      <c r="IL75" s="482"/>
      <c r="IM75" s="482"/>
      <c r="IN75" s="482"/>
      <c r="IO75" s="482"/>
      <c r="IP75" s="482"/>
      <c r="IQ75" s="482"/>
      <c r="IR75" s="482"/>
    </row>
    <row r="76" spans="1:252" ht="31.5" customHeight="1">
      <c r="A76" s="660" t="s">
        <v>960</v>
      </c>
      <c r="B76" s="658" t="s">
        <v>961</v>
      </c>
      <c r="C76" s="498"/>
      <c r="D76" s="489"/>
      <c r="E76" s="490"/>
      <c r="F76" s="654">
        <f>SUM(F73:F74)</f>
        <v>115055620</v>
      </c>
      <c r="G76" s="498"/>
      <c r="H76" s="489"/>
      <c r="I76" s="490"/>
      <c r="J76" s="654">
        <f>SUM(J73:J74)</f>
        <v>124138200</v>
      </c>
      <c r="K76" s="654">
        <f>SUM(K73:K74)</f>
        <v>124138</v>
      </c>
      <c r="L76" s="654">
        <f>SUM(L73:L74)</f>
        <v>124138</v>
      </c>
      <c r="M76" s="654">
        <f>SUM(M73:M74)</f>
        <v>124138</v>
      </c>
      <c r="N76" s="654">
        <f>SUM(N73:N75)</f>
        <v>126288</v>
      </c>
      <c r="O76" s="654">
        <f>SUM(O73:O75)</f>
        <v>126288</v>
      </c>
      <c r="P76" s="655">
        <f>SUM(P73:P75)</f>
        <v>126288</v>
      </c>
      <c r="Q76" s="482"/>
      <c r="R76" s="482"/>
      <c r="S76" s="482"/>
      <c r="T76" s="482"/>
      <c r="U76" s="482"/>
      <c r="V76" s="482"/>
      <c r="W76" s="482"/>
      <c r="X76" s="482"/>
      <c r="Y76" s="482"/>
      <c r="Z76" s="482"/>
      <c r="AA76" s="482"/>
      <c r="AB76" s="482"/>
      <c r="AC76" s="482"/>
      <c r="AD76" s="482"/>
      <c r="AE76" s="482"/>
      <c r="AF76" s="482"/>
      <c r="AG76" s="482"/>
      <c r="AH76" s="482"/>
      <c r="AI76" s="482"/>
      <c r="AJ76" s="482"/>
      <c r="AK76" s="482"/>
      <c r="AL76" s="482"/>
      <c r="AM76" s="482"/>
      <c r="AN76" s="482"/>
      <c r="AO76" s="482"/>
      <c r="AP76" s="482"/>
      <c r="AQ76" s="482"/>
      <c r="AR76" s="482"/>
      <c r="AS76" s="482"/>
      <c r="AT76" s="482"/>
      <c r="AU76" s="482"/>
      <c r="AV76" s="482"/>
      <c r="AW76" s="482"/>
      <c r="AX76" s="482"/>
      <c r="AY76" s="482"/>
      <c r="AZ76" s="482"/>
      <c r="BA76" s="482"/>
      <c r="BB76" s="482"/>
      <c r="BC76" s="482"/>
      <c r="BD76" s="482"/>
      <c r="BE76" s="482"/>
      <c r="BF76" s="482"/>
      <c r="BG76" s="482"/>
      <c r="BH76" s="482"/>
      <c r="BI76" s="482"/>
      <c r="BJ76" s="482"/>
      <c r="BK76" s="482"/>
      <c r="BL76" s="482"/>
      <c r="BM76" s="482"/>
      <c r="BN76" s="482"/>
      <c r="BO76" s="482"/>
      <c r="BP76" s="482"/>
      <c r="BQ76" s="482"/>
      <c r="BR76" s="482"/>
      <c r="BS76" s="482"/>
      <c r="BT76" s="482"/>
      <c r="BU76" s="482"/>
      <c r="BV76" s="482"/>
      <c r="BW76" s="482"/>
      <c r="BX76" s="482"/>
      <c r="BY76" s="482"/>
      <c r="BZ76" s="482"/>
      <c r="CA76" s="482"/>
      <c r="CB76" s="482"/>
      <c r="CC76" s="482"/>
      <c r="CD76" s="482"/>
      <c r="CE76" s="482"/>
      <c r="CF76" s="482"/>
      <c r="CG76" s="482"/>
      <c r="CH76" s="482"/>
      <c r="CI76" s="482"/>
      <c r="CJ76" s="482"/>
      <c r="CK76" s="482"/>
      <c r="CL76" s="482"/>
      <c r="CM76" s="482"/>
      <c r="CN76" s="482"/>
      <c r="CO76" s="482"/>
      <c r="CP76" s="482"/>
      <c r="CQ76" s="482"/>
      <c r="CR76" s="482"/>
      <c r="CS76" s="482"/>
      <c r="CT76" s="482"/>
      <c r="CU76" s="482"/>
      <c r="CV76" s="482"/>
      <c r="CW76" s="482"/>
      <c r="CX76" s="482"/>
      <c r="CY76" s="482"/>
      <c r="CZ76" s="482"/>
      <c r="DA76" s="482"/>
      <c r="DB76" s="482"/>
      <c r="DC76" s="482"/>
      <c r="DD76" s="482"/>
      <c r="DE76" s="482"/>
      <c r="DF76" s="482"/>
      <c r="DG76" s="482"/>
      <c r="DH76" s="482"/>
      <c r="DI76" s="482"/>
      <c r="DJ76" s="482"/>
      <c r="DK76" s="482"/>
      <c r="DL76" s="482"/>
      <c r="DM76" s="482"/>
      <c r="DN76" s="482"/>
      <c r="DO76" s="482"/>
      <c r="DP76" s="482"/>
      <c r="DQ76" s="482"/>
      <c r="DR76" s="482"/>
      <c r="DS76" s="482"/>
      <c r="DT76" s="482"/>
      <c r="DU76" s="482"/>
      <c r="DV76" s="482"/>
      <c r="DW76" s="482"/>
      <c r="DX76" s="482"/>
      <c r="DY76" s="482"/>
      <c r="DZ76" s="482"/>
      <c r="EA76" s="482"/>
      <c r="EB76" s="482"/>
      <c r="EC76" s="482"/>
      <c r="ED76" s="482"/>
      <c r="EE76" s="482"/>
      <c r="EF76" s="482"/>
      <c r="EG76" s="482"/>
      <c r="EH76" s="482"/>
      <c r="EI76" s="482"/>
      <c r="EJ76" s="482"/>
      <c r="EK76" s="482"/>
      <c r="EL76" s="482"/>
      <c r="EM76" s="482"/>
      <c r="EN76" s="482"/>
      <c r="EO76" s="482"/>
      <c r="EP76" s="482"/>
      <c r="EQ76" s="482"/>
      <c r="ER76" s="482"/>
      <c r="ES76" s="482"/>
      <c r="ET76" s="482"/>
      <c r="EU76" s="482"/>
      <c r="EV76" s="482"/>
      <c r="EW76" s="482"/>
      <c r="EX76" s="482"/>
      <c r="EY76" s="482"/>
      <c r="EZ76" s="482"/>
      <c r="FA76" s="482"/>
      <c r="FB76" s="482"/>
      <c r="FC76" s="482"/>
      <c r="FD76" s="482"/>
      <c r="FE76" s="482"/>
      <c r="FF76" s="482"/>
      <c r="FG76" s="482"/>
      <c r="FH76" s="482"/>
      <c r="FI76" s="482"/>
      <c r="FJ76" s="482"/>
      <c r="FK76" s="482"/>
      <c r="FL76" s="482"/>
      <c r="FM76" s="482"/>
      <c r="FN76" s="482"/>
      <c r="FO76" s="482"/>
      <c r="FP76" s="482"/>
      <c r="FQ76" s="482"/>
      <c r="FR76" s="482"/>
      <c r="FS76" s="482"/>
      <c r="FT76" s="482"/>
      <c r="FU76" s="482"/>
      <c r="FV76" s="482"/>
      <c r="FW76" s="482"/>
      <c r="FX76" s="482"/>
      <c r="FY76" s="482"/>
      <c r="FZ76" s="482"/>
      <c r="GA76" s="482"/>
      <c r="GB76" s="482"/>
      <c r="GC76" s="482"/>
      <c r="GD76" s="482"/>
      <c r="GE76" s="482"/>
      <c r="GF76" s="482"/>
      <c r="GG76" s="482"/>
      <c r="GH76" s="482"/>
      <c r="GI76" s="482"/>
      <c r="GJ76" s="482"/>
      <c r="GK76" s="482"/>
      <c r="GL76" s="482"/>
      <c r="GM76" s="482"/>
      <c r="GN76" s="482"/>
      <c r="GO76" s="482"/>
      <c r="GP76" s="482"/>
      <c r="GQ76" s="482"/>
      <c r="GR76" s="482"/>
      <c r="GS76" s="482"/>
      <c r="GT76" s="482"/>
      <c r="GU76" s="482"/>
      <c r="GV76" s="482"/>
      <c r="GW76" s="482"/>
      <c r="GX76" s="482"/>
      <c r="GY76" s="482"/>
      <c r="GZ76" s="482"/>
      <c r="HA76" s="482"/>
      <c r="HB76" s="482"/>
      <c r="HC76" s="482"/>
      <c r="HD76" s="482"/>
      <c r="HE76" s="482"/>
      <c r="HF76" s="482"/>
      <c r="HG76" s="482"/>
      <c r="HH76" s="482"/>
      <c r="HI76" s="482"/>
      <c r="HJ76" s="482"/>
      <c r="HK76" s="482"/>
      <c r="HL76" s="482"/>
      <c r="HM76" s="482"/>
      <c r="HN76" s="482"/>
      <c r="HO76" s="482"/>
      <c r="HP76" s="482"/>
      <c r="HQ76" s="482"/>
      <c r="HR76" s="482"/>
      <c r="HS76" s="482"/>
      <c r="HT76" s="482"/>
      <c r="HU76" s="482"/>
      <c r="HV76" s="482"/>
      <c r="HW76" s="482"/>
      <c r="HX76" s="482"/>
      <c r="HY76" s="482"/>
      <c r="HZ76" s="482"/>
      <c r="IA76" s="482"/>
      <c r="IB76" s="482"/>
      <c r="IC76" s="482"/>
      <c r="ID76" s="482"/>
      <c r="IE76" s="482"/>
      <c r="IF76" s="482"/>
      <c r="IG76" s="482"/>
      <c r="IH76" s="482"/>
      <c r="II76" s="482"/>
      <c r="IJ76" s="482"/>
      <c r="IK76" s="482"/>
      <c r="IL76" s="482"/>
      <c r="IM76" s="482"/>
      <c r="IN76" s="482"/>
      <c r="IO76" s="482"/>
      <c r="IP76" s="482"/>
      <c r="IQ76" s="482"/>
      <c r="IR76" s="482"/>
    </row>
    <row r="77" spans="1:252" ht="21.75" customHeight="1">
      <c r="A77" s="664" t="s">
        <v>962</v>
      </c>
      <c r="B77" s="645" t="s">
        <v>963</v>
      </c>
      <c r="C77" s="498"/>
      <c r="D77" s="489"/>
      <c r="E77" s="490"/>
      <c r="F77" s="654"/>
      <c r="G77" s="498"/>
      <c r="H77" s="489"/>
      <c r="I77" s="490"/>
      <c r="J77" s="654"/>
      <c r="K77" s="654"/>
      <c r="L77" s="654"/>
      <c r="M77" s="654"/>
      <c r="N77" s="654"/>
      <c r="O77" s="654"/>
      <c r="P77" s="655"/>
      <c r="Q77" s="482"/>
      <c r="R77" s="482"/>
      <c r="S77" s="482"/>
      <c r="T77" s="482"/>
      <c r="U77" s="482"/>
      <c r="V77" s="482"/>
      <c r="W77" s="482"/>
      <c r="X77" s="482"/>
      <c r="Y77" s="482"/>
      <c r="Z77" s="482"/>
      <c r="AA77" s="482"/>
      <c r="AB77" s="482"/>
      <c r="AC77" s="482"/>
      <c r="AD77" s="482"/>
      <c r="AE77" s="482"/>
      <c r="AF77" s="482"/>
      <c r="AG77" s="482"/>
      <c r="AH77" s="482"/>
      <c r="AI77" s="482"/>
      <c r="AJ77" s="482"/>
      <c r="AK77" s="482"/>
      <c r="AL77" s="482"/>
      <c r="AM77" s="482"/>
      <c r="AN77" s="482"/>
      <c r="AO77" s="482"/>
      <c r="AP77" s="482"/>
      <c r="AQ77" s="482"/>
      <c r="AR77" s="482"/>
      <c r="AS77" s="482"/>
      <c r="AT77" s="482"/>
      <c r="AU77" s="482"/>
      <c r="AV77" s="482"/>
      <c r="AW77" s="482"/>
      <c r="AX77" s="482"/>
      <c r="AY77" s="482"/>
      <c r="AZ77" s="482"/>
      <c r="BA77" s="482"/>
      <c r="BB77" s="482"/>
      <c r="BC77" s="482"/>
      <c r="BD77" s="482"/>
      <c r="BE77" s="482"/>
      <c r="BF77" s="482"/>
      <c r="BG77" s="482"/>
      <c r="BH77" s="482"/>
      <c r="BI77" s="482"/>
      <c r="BJ77" s="482"/>
      <c r="BK77" s="482"/>
      <c r="BL77" s="482"/>
      <c r="BM77" s="482"/>
      <c r="BN77" s="482"/>
      <c r="BO77" s="482"/>
      <c r="BP77" s="482"/>
      <c r="BQ77" s="482"/>
      <c r="BR77" s="482"/>
      <c r="BS77" s="482"/>
      <c r="BT77" s="482"/>
      <c r="BU77" s="482"/>
      <c r="BV77" s="482"/>
      <c r="BW77" s="482"/>
      <c r="BX77" s="482"/>
      <c r="BY77" s="482"/>
      <c r="BZ77" s="482"/>
      <c r="CA77" s="482"/>
      <c r="CB77" s="482"/>
      <c r="CC77" s="482"/>
      <c r="CD77" s="482"/>
      <c r="CE77" s="482"/>
      <c r="CF77" s="482"/>
      <c r="CG77" s="482"/>
      <c r="CH77" s="482"/>
      <c r="CI77" s="482"/>
      <c r="CJ77" s="482"/>
      <c r="CK77" s="482"/>
      <c r="CL77" s="482"/>
      <c r="CM77" s="482"/>
      <c r="CN77" s="482"/>
      <c r="CO77" s="482"/>
      <c r="CP77" s="482"/>
      <c r="CQ77" s="482"/>
      <c r="CR77" s="482"/>
      <c r="CS77" s="482"/>
      <c r="CT77" s="482"/>
      <c r="CU77" s="482"/>
      <c r="CV77" s="482"/>
      <c r="CW77" s="482"/>
      <c r="CX77" s="482"/>
      <c r="CY77" s="482"/>
      <c r="CZ77" s="482"/>
      <c r="DA77" s="482"/>
      <c r="DB77" s="482"/>
      <c r="DC77" s="482"/>
      <c r="DD77" s="482"/>
      <c r="DE77" s="482"/>
      <c r="DF77" s="482"/>
      <c r="DG77" s="482"/>
      <c r="DH77" s="482"/>
      <c r="DI77" s="482"/>
      <c r="DJ77" s="482"/>
      <c r="DK77" s="482"/>
      <c r="DL77" s="482"/>
      <c r="DM77" s="482"/>
      <c r="DN77" s="482"/>
      <c r="DO77" s="482"/>
      <c r="DP77" s="482"/>
      <c r="DQ77" s="482"/>
      <c r="DR77" s="482"/>
      <c r="DS77" s="482"/>
      <c r="DT77" s="482"/>
      <c r="DU77" s="482"/>
      <c r="DV77" s="482"/>
      <c r="DW77" s="482"/>
      <c r="DX77" s="482"/>
      <c r="DY77" s="482"/>
      <c r="DZ77" s="482"/>
      <c r="EA77" s="482"/>
      <c r="EB77" s="482"/>
      <c r="EC77" s="482"/>
      <c r="ED77" s="482"/>
      <c r="EE77" s="482"/>
      <c r="EF77" s="482"/>
      <c r="EG77" s="482"/>
      <c r="EH77" s="482"/>
      <c r="EI77" s="482"/>
      <c r="EJ77" s="482"/>
      <c r="EK77" s="482"/>
      <c r="EL77" s="482"/>
      <c r="EM77" s="482"/>
      <c r="EN77" s="482"/>
      <c r="EO77" s="482"/>
      <c r="EP77" s="482"/>
      <c r="EQ77" s="482"/>
      <c r="ER77" s="482"/>
      <c r="ES77" s="482"/>
      <c r="ET77" s="482"/>
      <c r="EU77" s="482"/>
      <c r="EV77" s="482"/>
      <c r="EW77" s="482"/>
      <c r="EX77" s="482"/>
      <c r="EY77" s="482"/>
      <c r="EZ77" s="482"/>
      <c r="FA77" s="482"/>
      <c r="FB77" s="482"/>
      <c r="FC77" s="482"/>
      <c r="FD77" s="482"/>
      <c r="FE77" s="482"/>
      <c r="FF77" s="482"/>
      <c r="FG77" s="482"/>
      <c r="FH77" s="482"/>
      <c r="FI77" s="482"/>
      <c r="FJ77" s="482"/>
      <c r="FK77" s="482"/>
      <c r="FL77" s="482"/>
      <c r="FM77" s="482"/>
      <c r="FN77" s="482"/>
      <c r="FO77" s="482"/>
      <c r="FP77" s="482"/>
      <c r="FQ77" s="482"/>
      <c r="FR77" s="482"/>
      <c r="FS77" s="482"/>
      <c r="FT77" s="482"/>
      <c r="FU77" s="482"/>
      <c r="FV77" s="482"/>
      <c r="FW77" s="482"/>
      <c r="FX77" s="482"/>
      <c r="FY77" s="482"/>
      <c r="FZ77" s="482"/>
      <c r="GA77" s="482"/>
      <c r="GB77" s="482"/>
      <c r="GC77" s="482"/>
      <c r="GD77" s="482"/>
      <c r="GE77" s="482"/>
      <c r="GF77" s="482"/>
      <c r="GG77" s="482"/>
      <c r="GH77" s="482"/>
      <c r="GI77" s="482"/>
      <c r="GJ77" s="482"/>
      <c r="GK77" s="482"/>
      <c r="GL77" s="482"/>
      <c r="GM77" s="482"/>
      <c r="GN77" s="482"/>
      <c r="GO77" s="482"/>
      <c r="GP77" s="482"/>
      <c r="GQ77" s="482"/>
      <c r="GR77" s="482"/>
      <c r="GS77" s="482"/>
      <c r="GT77" s="482"/>
      <c r="GU77" s="482"/>
      <c r="GV77" s="482"/>
      <c r="GW77" s="482"/>
      <c r="GX77" s="482"/>
      <c r="GY77" s="482"/>
      <c r="GZ77" s="482"/>
      <c r="HA77" s="482"/>
      <c r="HB77" s="482"/>
      <c r="HC77" s="482"/>
      <c r="HD77" s="482"/>
      <c r="HE77" s="482"/>
      <c r="HF77" s="482"/>
      <c r="HG77" s="482"/>
      <c r="HH77" s="482"/>
      <c r="HI77" s="482"/>
      <c r="HJ77" s="482"/>
      <c r="HK77" s="482"/>
      <c r="HL77" s="482"/>
      <c r="HM77" s="482"/>
      <c r="HN77" s="482"/>
      <c r="HO77" s="482"/>
      <c r="HP77" s="482"/>
      <c r="HQ77" s="482"/>
      <c r="HR77" s="482"/>
      <c r="HS77" s="482"/>
      <c r="HT77" s="482"/>
      <c r="HU77" s="482"/>
      <c r="HV77" s="482"/>
      <c r="HW77" s="482"/>
      <c r="HX77" s="482"/>
      <c r="HY77" s="482"/>
      <c r="HZ77" s="482"/>
      <c r="IA77" s="482"/>
      <c r="IB77" s="482"/>
      <c r="IC77" s="482"/>
      <c r="ID77" s="482"/>
      <c r="IE77" s="482"/>
      <c r="IF77" s="482"/>
      <c r="IG77" s="482"/>
      <c r="IH77" s="482"/>
      <c r="II77" s="482"/>
      <c r="IJ77" s="482"/>
      <c r="IK77" s="482"/>
      <c r="IL77" s="482"/>
      <c r="IM77" s="482"/>
      <c r="IN77" s="482"/>
      <c r="IO77" s="482"/>
      <c r="IP77" s="482"/>
      <c r="IQ77" s="482"/>
      <c r="IR77" s="482"/>
    </row>
    <row r="78" spans="1:252" ht="20.25" customHeight="1">
      <c r="A78" s="647"/>
      <c r="B78" s="645" t="s">
        <v>964</v>
      </c>
      <c r="C78" s="497">
        <v>53815280559</v>
      </c>
      <c r="D78" s="493"/>
      <c r="E78" s="507" t="s">
        <v>965</v>
      </c>
      <c r="F78" s="496">
        <f>C78*E78</f>
        <v>269076402.795</v>
      </c>
      <c r="G78" s="497">
        <v>62880855440</v>
      </c>
      <c r="H78" s="493" t="s">
        <v>857</v>
      </c>
      <c r="I78" s="507" t="s">
        <v>966</v>
      </c>
      <c r="J78" s="496">
        <f>G78*I78</f>
        <v>345844704.91999996</v>
      </c>
      <c r="K78" s="496">
        <v>345845</v>
      </c>
      <c r="L78" s="496">
        <v>345845</v>
      </c>
      <c r="M78" s="496">
        <v>345845</v>
      </c>
      <c r="N78" s="496">
        <v>345845</v>
      </c>
      <c r="O78" s="496">
        <v>345845</v>
      </c>
      <c r="P78" s="649">
        <v>345845</v>
      </c>
      <c r="Q78" s="482"/>
      <c r="R78" s="482"/>
      <c r="S78" s="482"/>
      <c r="T78" s="482"/>
      <c r="U78" s="482"/>
      <c r="V78" s="482"/>
      <c r="W78" s="482"/>
      <c r="X78" s="482"/>
      <c r="Y78" s="482"/>
      <c r="Z78" s="482"/>
      <c r="AA78" s="482"/>
      <c r="AB78" s="482"/>
      <c r="AC78" s="482"/>
      <c r="AD78" s="482"/>
      <c r="AE78" s="482"/>
      <c r="AF78" s="482"/>
      <c r="AG78" s="482"/>
      <c r="AH78" s="482"/>
      <c r="AI78" s="482"/>
      <c r="AJ78" s="482"/>
      <c r="AK78" s="482"/>
      <c r="AL78" s="482"/>
      <c r="AM78" s="482"/>
      <c r="AN78" s="482"/>
      <c r="AO78" s="482"/>
      <c r="AP78" s="482"/>
      <c r="AQ78" s="482"/>
      <c r="AR78" s="482"/>
      <c r="AS78" s="482"/>
      <c r="AT78" s="482"/>
      <c r="AU78" s="482"/>
      <c r="AV78" s="482"/>
      <c r="AW78" s="482"/>
      <c r="AX78" s="482"/>
      <c r="AY78" s="482"/>
      <c r="AZ78" s="482"/>
      <c r="BA78" s="482"/>
      <c r="BB78" s="482"/>
      <c r="BC78" s="482"/>
      <c r="BD78" s="482"/>
      <c r="BE78" s="482"/>
      <c r="BF78" s="482"/>
      <c r="BG78" s="482"/>
      <c r="BH78" s="482"/>
      <c r="BI78" s="482"/>
      <c r="BJ78" s="482"/>
      <c r="BK78" s="482"/>
      <c r="BL78" s="482"/>
      <c r="BM78" s="482"/>
      <c r="BN78" s="482"/>
      <c r="BO78" s="482"/>
      <c r="BP78" s="482"/>
      <c r="BQ78" s="482"/>
      <c r="BR78" s="482"/>
      <c r="BS78" s="482"/>
      <c r="BT78" s="482"/>
      <c r="BU78" s="482"/>
      <c r="BV78" s="482"/>
      <c r="BW78" s="482"/>
      <c r="BX78" s="482"/>
      <c r="BY78" s="482"/>
      <c r="BZ78" s="482"/>
      <c r="CA78" s="482"/>
      <c r="CB78" s="482"/>
      <c r="CC78" s="482"/>
      <c r="CD78" s="482"/>
      <c r="CE78" s="482"/>
      <c r="CF78" s="482"/>
      <c r="CG78" s="482"/>
      <c r="CH78" s="482"/>
      <c r="CI78" s="482"/>
      <c r="CJ78" s="482"/>
      <c r="CK78" s="482"/>
      <c r="CL78" s="482"/>
      <c r="CM78" s="482"/>
      <c r="CN78" s="482"/>
      <c r="CO78" s="482"/>
      <c r="CP78" s="482"/>
      <c r="CQ78" s="482"/>
      <c r="CR78" s="482"/>
      <c r="CS78" s="482"/>
      <c r="CT78" s="482"/>
      <c r="CU78" s="482"/>
      <c r="CV78" s="482"/>
      <c r="CW78" s="482"/>
      <c r="CX78" s="482"/>
      <c r="CY78" s="482"/>
      <c r="CZ78" s="482"/>
      <c r="DA78" s="482"/>
      <c r="DB78" s="482"/>
      <c r="DC78" s="482"/>
      <c r="DD78" s="482"/>
      <c r="DE78" s="482"/>
      <c r="DF78" s="482"/>
      <c r="DG78" s="482"/>
      <c r="DH78" s="482"/>
      <c r="DI78" s="482"/>
      <c r="DJ78" s="482"/>
      <c r="DK78" s="482"/>
      <c r="DL78" s="482"/>
      <c r="DM78" s="482"/>
      <c r="DN78" s="482"/>
      <c r="DO78" s="482"/>
      <c r="DP78" s="482"/>
      <c r="DQ78" s="482"/>
      <c r="DR78" s="482"/>
      <c r="DS78" s="482"/>
      <c r="DT78" s="482"/>
      <c r="DU78" s="482"/>
      <c r="DV78" s="482"/>
      <c r="DW78" s="482"/>
      <c r="DX78" s="482"/>
      <c r="DY78" s="482"/>
      <c r="DZ78" s="482"/>
      <c r="EA78" s="482"/>
      <c r="EB78" s="482"/>
      <c r="EC78" s="482"/>
      <c r="ED78" s="482"/>
      <c r="EE78" s="482"/>
      <c r="EF78" s="482"/>
      <c r="EG78" s="482"/>
      <c r="EH78" s="482"/>
      <c r="EI78" s="482"/>
      <c r="EJ78" s="482"/>
      <c r="EK78" s="482"/>
      <c r="EL78" s="482"/>
      <c r="EM78" s="482"/>
      <c r="EN78" s="482"/>
      <c r="EO78" s="482"/>
      <c r="EP78" s="482"/>
      <c r="EQ78" s="482"/>
      <c r="ER78" s="482"/>
      <c r="ES78" s="482"/>
      <c r="ET78" s="482"/>
      <c r="EU78" s="482"/>
      <c r="EV78" s="482"/>
      <c r="EW78" s="482"/>
      <c r="EX78" s="482"/>
      <c r="EY78" s="482"/>
      <c r="EZ78" s="482"/>
      <c r="FA78" s="482"/>
      <c r="FB78" s="482"/>
      <c r="FC78" s="482"/>
      <c r="FD78" s="482"/>
      <c r="FE78" s="482"/>
      <c r="FF78" s="482"/>
      <c r="FG78" s="482"/>
      <c r="FH78" s="482"/>
      <c r="FI78" s="482"/>
      <c r="FJ78" s="482"/>
      <c r="FK78" s="482"/>
      <c r="FL78" s="482"/>
      <c r="FM78" s="482"/>
      <c r="FN78" s="482"/>
      <c r="FO78" s="482"/>
      <c r="FP78" s="482"/>
      <c r="FQ78" s="482"/>
      <c r="FR78" s="482"/>
      <c r="FS78" s="482"/>
      <c r="FT78" s="482"/>
      <c r="FU78" s="482"/>
      <c r="FV78" s="482"/>
      <c r="FW78" s="482"/>
      <c r="FX78" s="482"/>
      <c r="FY78" s="482"/>
      <c r="FZ78" s="482"/>
      <c r="GA78" s="482"/>
      <c r="GB78" s="482"/>
      <c r="GC78" s="482"/>
      <c r="GD78" s="482"/>
      <c r="GE78" s="482"/>
      <c r="GF78" s="482"/>
      <c r="GG78" s="482"/>
      <c r="GH78" s="482"/>
      <c r="GI78" s="482"/>
      <c r="GJ78" s="482"/>
      <c r="GK78" s="482"/>
      <c r="GL78" s="482"/>
      <c r="GM78" s="482"/>
      <c r="GN78" s="482"/>
      <c r="GO78" s="482"/>
      <c r="GP78" s="482"/>
      <c r="GQ78" s="482"/>
      <c r="GR78" s="482"/>
      <c r="GS78" s="482"/>
      <c r="GT78" s="482"/>
      <c r="GU78" s="482"/>
      <c r="GV78" s="482"/>
      <c r="GW78" s="482"/>
      <c r="GX78" s="482"/>
      <c r="GY78" s="482"/>
      <c r="GZ78" s="482"/>
      <c r="HA78" s="482"/>
      <c r="HB78" s="482"/>
      <c r="HC78" s="482"/>
      <c r="HD78" s="482"/>
      <c r="HE78" s="482"/>
      <c r="HF78" s="482"/>
      <c r="HG78" s="482"/>
      <c r="HH78" s="482"/>
      <c r="HI78" s="482"/>
      <c r="HJ78" s="482"/>
      <c r="HK78" s="482"/>
      <c r="HL78" s="482"/>
      <c r="HM78" s="482"/>
      <c r="HN78" s="482"/>
      <c r="HO78" s="482"/>
      <c r="HP78" s="482"/>
      <c r="HQ78" s="482"/>
      <c r="HR78" s="482"/>
      <c r="HS78" s="482"/>
      <c r="HT78" s="482"/>
      <c r="HU78" s="482"/>
      <c r="HV78" s="482"/>
      <c r="HW78" s="482"/>
      <c r="HX78" s="482"/>
      <c r="HY78" s="482"/>
      <c r="HZ78" s="482"/>
      <c r="IA78" s="482"/>
      <c r="IB78" s="482"/>
      <c r="IC78" s="482"/>
      <c r="ID78" s="482"/>
      <c r="IE78" s="482"/>
      <c r="IF78" s="482"/>
      <c r="IG78" s="482"/>
      <c r="IH78" s="482"/>
      <c r="II78" s="482"/>
      <c r="IJ78" s="482"/>
      <c r="IK78" s="482"/>
      <c r="IL78" s="482"/>
      <c r="IM78" s="482"/>
      <c r="IN78" s="482"/>
      <c r="IO78" s="482"/>
      <c r="IP78" s="482"/>
      <c r="IQ78" s="482"/>
      <c r="IR78" s="482"/>
    </row>
    <row r="79" spans="1:252" ht="31.5">
      <c r="A79" s="647"/>
      <c r="B79" s="665" t="s">
        <v>967</v>
      </c>
      <c r="C79" s="496">
        <f>F78</f>
        <v>269076402.795</v>
      </c>
      <c r="D79" s="493" t="s">
        <v>968</v>
      </c>
      <c r="E79" s="507" t="s">
        <v>969</v>
      </c>
      <c r="F79" s="496">
        <f>C79*E79</f>
        <v>255622582.65525</v>
      </c>
      <c r="G79" s="496">
        <f>J78</f>
        <v>345844704.91999996</v>
      </c>
      <c r="H79" s="508" t="s">
        <v>970</v>
      </c>
      <c r="I79" s="507" t="s">
        <v>971</v>
      </c>
      <c r="J79" s="496">
        <f>G79*I79-2</f>
        <v>311260232.428</v>
      </c>
      <c r="K79" s="496">
        <v>311260</v>
      </c>
      <c r="L79" s="496">
        <v>311260</v>
      </c>
      <c r="M79" s="496">
        <v>311260</v>
      </c>
      <c r="N79" s="496">
        <v>311260</v>
      </c>
      <c r="O79" s="496">
        <v>311260</v>
      </c>
      <c r="P79" s="649">
        <v>311260</v>
      </c>
      <c r="Q79" s="482"/>
      <c r="R79" s="482"/>
      <c r="S79" s="482"/>
      <c r="T79" s="482"/>
      <c r="U79" s="482"/>
      <c r="V79" s="482"/>
      <c r="W79" s="482"/>
      <c r="X79" s="482"/>
      <c r="Y79" s="482"/>
      <c r="Z79" s="482"/>
      <c r="AA79" s="482"/>
      <c r="AB79" s="482"/>
      <c r="AC79" s="482"/>
      <c r="AD79" s="482"/>
      <c r="AE79" s="482"/>
      <c r="AF79" s="482"/>
      <c r="AG79" s="482"/>
      <c r="AH79" s="482"/>
      <c r="AI79" s="482"/>
      <c r="AJ79" s="482"/>
      <c r="AK79" s="482"/>
      <c r="AL79" s="482"/>
      <c r="AM79" s="482"/>
      <c r="AN79" s="482"/>
      <c r="AO79" s="482"/>
      <c r="AP79" s="482"/>
      <c r="AQ79" s="482"/>
      <c r="AR79" s="482"/>
      <c r="AS79" s="482"/>
      <c r="AT79" s="482"/>
      <c r="AU79" s="482"/>
      <c r="AV79" s="482"/>
      <c r="AW79" s="482"/>
      <c r="AX79" s="482"/>
      <c r="AY79" s="482"/>
      <c r="AZ79" s="482"/>
      <c r="BA79" s="482"/>
      <c r="BB79" s="482"/>
      <c r="BC79" s="482"/>
      <c r="BD79" s="482"/>
      <c r="BE79" s="482"/>
      <c r="BF79" s="482"/>
      <c r="BG79" s="482"/>
      <c r="BH79" s="482"/>
      <c r="BI79" s="482"/>
      <c r="BJ79" s="482"/>
      <c r="BK79" s="482"/>
      <c r="BL79" s="482"/>
      <c r="BM79" s="482"/>
      <c r="BN79" s="482"/>
      <c r="BO79" s="482"/>
      <c r="BP79" s="482"/>
      <c r="BQ79" s="482"/>
      <c r="BR79" s="482"/>
      <c r="BS79" s="482"/>
      <c r="BT79" s="482"/>
      <c r="BU79" s="482"/>
      <c r="BV79" s="482"/>
      <c r="BW79" s="482"/>
      <c r="BX79" s="482"/>
      <c r="BY79" s="482"/>
      <c r="BZ79" s="482"/>
      <c r="CA79" s="482"/>
      <c r="CB79" s="482"/>
      <c r="CC79" s="482"/>
      <c r="CD79" s="482"/>
      <c r="CE79" s="482"/>
      <c r="CF79" s="482"/>
      <c r="CG79" s="482"/>
      <c r="CH79" s="482"/>
      <c r="CI79" s="482"/>
      <c r="CJ79" s="482"/>
      <c r="CK79" s="482"/>
      <c r="CL79" s="482"/>
      <c r="CM79" s="482"/>
      <c r="CN79" s="482"/>
      <c r="CO79" s="482"/>
      <c r="CP79" s="482"/>
      <c r="CQ79" s="482"/>
      <c r="CR79" s="482"/>
      <c r="CS79" s="482"/>
      <c r="CT79" s="482"/>
      <c r="CU79" s="482"/>
      <c r="CV79" s="482"/>
      <c r="CW79" s="482"/>
      <c r="CX79" s="482"/>
      <c r="CY79" s="482"/>
      <c r="CZ79" s="482"/>
      <c r="DA79" s="482"/>
      <c r="DB79" s="482"/>
      <c r="DC79" s="482"/>
      <c r="DD79" s="482"/>
      <c r="DE79" s="482"/>
      <c r="DF79" s="482"/>
      <c r="DG79" s="482"/>
      <c r="DH79" s="482"/>
      <c r="DI79" s="482"/>
      <c r="DJ79" s="482"/>
      <c r="DK79" s="482"/>
      <c r="DL79" s="482"/>
      <c r="DM79" s="482"/>
      <c r="DN79" s="482"/>
      <c r="DO79" s="482"/>
      <c r="DP79" s="482"/>
      <c r="DQ79" s="482"/>
      <c r="DR79" s="482"/>
      <c r="DS79" s="482"/>
      <c r="DT79" s="482"/>
      <c r="DU79" s="482"/>
      <c r="DV79" s="482"/>
      <c r="DW79" s="482"/>
      <c r="DX79" s="482"/>
      <c r="DY79" s="482"/>
      <c r="DZ79" s="482"/>
      <c r="EA79" s="482"/>
      <c r="EB79" s="482"/>
      <c r="EC79" s="482"/>
      <c r="ED79" s="482"/>
      <c r="EE79" s="482"/>
      <c r="EF79" s="482"/>
      <c r="EG79" s="482"/>
      <c r="EH79" s="482"/>
      <c r="EI79" s="482"/>
      <c r="EJ79" s="482"/>
      <c r="EK79" s="482"/>
      <c r="EL79" s="482"/>
      <c r="EM79" s="482"/>
      <c r="EN79" s="482"/>
      <c r="EO79" s="482"/>
      <c r="EP79" s="482"/>
      <c r="EQ79" s="482"/>
      <c r="ER79" s="482"/>
      <c r="ES79" s="482"/>
      <c r="ET79" s="482"/>
      <c r="EU79" s="482"/>
      <c r="EV79" s="482"/>
      <c r="EW79" s="482"/>
      <c r="EX79" s="482"/>
      <c r="EY79" s="482"/>
      <c r="EZ79" s="482"/>
      <c r="FA79" s="482"/>
      <c r="FB79" s="482"/>
      <c r="FC79" s="482"/>
      <c r="FD79" s="482"/>
      <c r="FE79" s="482"/>
      <c r="FF79" s="482"/>
      <c r="FG79" s="482"/>
      <c r="FH79" s="482"/>
      <c r="FI79" s="482"/>
      <c r="FJ79" s="482"/>
      <c r="FK79" s="482"/>
      <c r="FL79" s="482"/>
      <c r="FM79" s="482"/>
      <c r="FN79" s="482"/>
      <c r="FO79" s="482"/>
      <c r="FP79" s="482"/>
      <c r="FQ79" s="482"/>
      <c r="FR79" s="482"/>
      <c r="FS79" s="482"/>
      <c r="FT79" s="482"/>
      <c r="FU79" s="482"/>
      <c r="FV79" s="482"/>
      <c r="FW79" s="482"/>
      <c r="FX79" s="482"/>
      <c r="FY79" s="482"/>
      <c r="FZ79" s="482"/>
      <c r="GA79" s="482"/>
      <c r="GB79" s="482"/>
      <c r="GC79" s="482"/>
      <c r="GD79" s="482"/>
      <c r="GE79" s="482"/>
      <c r="GF79" s="482"/>
      <c r="GG79" s="482"/>
      <c r="GH79" s="482"/>
      <c r="GI79" s="482"/>
      <c r="GJ79" s="482"/>
      <c r="GK79" s="482"/>
      <c r="GL79" s="482"/>
      <c r="GM79" s="482"/>
      <c r="GN79" s="482"/>
      <c r="GO79" s="482"/>
      <c r="GP79" s="482"/>
      <c r="GQ79" s="482"/>
      <c r="GR79" s="482"/>
      <c r="GS79" s="482"/>
      <c r="GT79" s="482"/>
      <c r="GU79" s="482"/>
      <c r="GV79" s="482"/>
      <c r="GW79" s="482"/>
      <c r="GX79" s="482"/>
      <c r="GY79" s="482"/>
      <c r="GZ79" s="482"/>
      <c r="HA79" s="482"/>
      <c r="HB79" s="482"/>
      <c r="HC79" s="482"/>
      <c r="HD79" s="482"/>
      <c r="HE79" s="482"/>
      <c r="HF79" s="482"/>
      <c r="HG79" s="482"/>
      <c r="HH79" s="482"/>
      <c r="HI79" s="482"/>
      <c r="HJ79" s="482"/>
      <c r="HK79" s="482"/>
      <c r="HL79" s="482"/>
      <c r="HM79" s="482"/>
      <c r="HN79" s="482"/>
      <c r="HO79" s="482"/>
      <c r="HP79" s="482"/>
      <c r="HQ79" s="482"/>
      <c r="HR79" s="482"/>
      <c r="HS79" s="482"/>
      <c r="HT79" s="482"/>
      <c r="HU79" s="482"/>
      <c r="HV79" s="482"/>
      <c r="HW79" s="482"/>
      <c r="HX79" s="482"/>
      <c r="HY79" s="482"/>
      <c r="HZ79" s="482"/>
      <c r="IA79" s="482"/>
      <c r="IB79" s="482"/>
      <c r="IC79" s="482"/>
      <c r="ID79" s="482"/>
      <c r="IE79" s="482"/>
      <c r="IF79" s="482"/>
      <c r="IG79" s="482"/>
      <c r="IH79" s="482"/>
      <c r="II79" s="482"/>
      <c r="IJ79" s="482"/>
      <c r="IK79" s="482"/>
      <c r="IL79" s="482"/>
      <c r="IM79" s="482"/>
      <c r="IN79" s="482"/>
      <c r="IO79" s="482"/>
      <c r="IP79" s="482"/>
      <c r="IQ79" s="482"/>
      <c r="IR79" s="482"/>
    </row>
    <row r="80" spans="1:252" ht="31.5">
      <c r="A80" s="652" t="s">
        <v>972</v>
      </c>
      <c r="B80" s="656" t="s">
        <v>973</v>
      </c>
      <c r="C80" s="496"/>
      <c r="D80" s="493"/>
      <c r="E80" s="507"/>
      <c r="F80" s="654">
        <f>-F79</f>
        <v>-255622582.65525</v>
      </c>
      <c r="G80" s="496"/>
      <c r="H80" s="493"/>
      <c r="I80" s="507"/>
      <c r="J80" s="654">
        <v>-311260232</v>
      </c>
      <c r="K80" s="654">
        <v>-311260</v>
      </c>
      <c r="L80" s="654">
        <v>-311260</v>
      </c>
      <c r="M80" s="654">
        <v>-311260</v>
      </c>
      <c r="N80" s="654">
        <v>-311260</v>
      </c>
      <c r="O80" s="654">
        <v>-311260</v>
      </c>
      <c r="P80" s="655">
        <v>-311260</v>
      </c>
      <c r="Q80" s="482"/>
      <c r="R80" s="482"/>
      <c r="S80" s="482"/>
      <c r="T80" s="482"/>
      <c r="U80" s="482"/>
      <c r="V80" s="482"/>
      <c r="W80" s="482"/>
      <c r="X80" s="482"/>
      <c r="Y80" s="482"/>
      <c r="Z80" s="482"/>
      <c r="AA80" s="482"/>
      <c r="AB80" s="482"/>
      <c r="AC80" s="482"/>
      <c r="AD80" s="482"/>
      <c r="AE80" s="482"/>
      <c r="AF80" s="482"/>
      <c r="AG80" s="482"/>
      <c r="AH80" s="482"/>
      <c r="AI80" s="482"/>
      <c r="AJ80" s="482"/>
      <c r="AK80" s="482"/>
      <c r="AL80" s="482"/>
      <c r="AM80" s="482"/>
      <c r="AN80" s="482"/>
      <c r="AO80" s="482"/>
      <c r="AP80" s="482"/>
      <c r="AQ80" s="482"/>
      <c r="AR80" s="482"/>
      <c r="AS80" s="482"/>
      <c r="AT80" s="482"/>
      <c r="AU80" s="482"/>
      <c r="AV80" s="482"/>
      <c r="AW80" s="482"/>
      <c r="AX80" s="482"/>
      <c r="AY80" s="482"/>
      <c r="AZ80" s="482"/>
      <c r="BA80" s="482"/>
      <c r="BB80" s="482"/>
      <c r="BC80" s="482"/>
      <c r="BD80" s="482"/>
      <c r="BE80" s="482"/>
      <c r="BF80" s="482"/>
      <c r="BG80" s="482"/>
      <c r="BH80" s="482"/>
      <c r="BI80" s="482"/>
      <c r="BJ80" s="482"/>
      <c r="BK80" s="482"/>
      <c r="BL80" s="482"/>
      <c r="BM80" s="482"/>
      <c r="BN80" s="482"/>
      <c r="BO80" s="482"/>
      <c r="BP80" s="482"/>
      <c r="BQ80" s="482"/>
      <c r="BR80" s="482"/>
      <c r="BS80" s="482"/>
      <c r="BT80" s="482"/>
      <c r="BU80" s="482"/>
      <c r="BV80" s="482"/>
      <c r="BW80" s="482"/>
      <c r="BX80" s="482"/>
      <c r="BY80" s="482"/>
      <c r="BZ80" s="482"/>
      <c r="CA80" s="482"/>
      <c r="CB80" s="482"/>
      <c r="CC80" s="482"/>
      <c r="CD80" s="482"/>
      <c r="CE80" s="482"/>
      <c r="CF80" s="482"/>
      <c r="CG80" s="482"/>
      <c r="CH80" s="482"/>
      <c r="CI80" s="482"/>
      <c r="CJ80" s="482"/>
      <c r="CK80" s="482"/>
      <c r="CL80" s="482"/>
      <c r="CM80" s="482"/>
      <c r="CN80" s="482"/>
      <c r="CO80" s="482"/>
      <c r="CP80" s="482"/>
      <c r="CQ80" s="482"/>
      <c r="CR80" s="482"/>
      <c r="CS80" s="482"/>
      <c r="CT80" s="482"/>
      <c r="CU80" s="482"/>
      <c r="CV80" s="482"/>
      <c r="CW80" s="482"/>
      <c r="CX80" s="482"/>
      <c r="CY80" s="482"/>
      <c r="CZ80" s="482"/>
      <c r="DA80" s="482"/>
      <c r="DB80" s="482"/>
      <c r="DC80" s="482"/>
      <c r="DD80" s="482"/>
      <c r="DE80" s="482"/>
      <c r="DF80" s="482"/>
      <c r="DG80" s="482"/>
      <c r="DH80" s="482"/>
      <c r="DI80" s="482"/>
      <c r="DJ80" s="482"/>
      <c r="DK80" s="482"/>
      <c r="DL80" s="482"/>
      <c r="DM80" s="482"/>
      <c r="DN80" s="482"/>
      <c r="DO80" s="482"/>
      <c r="DP80" s="482"/>
      <c r="DQ80" s="482"/>
      <c r="DR80" s="482"/>
      <c r="DS80" s="482"/>
      <c r="DT80" s="482"/>
      <c r="DU80" s="482"/>
      <c r="DV80" s="482"/>
      <c r="DW80" s="482"/>
      <c r="DX80" s="482"/>
      <c r="DY80" s="482"/>
      <c r="DZ80" s="482"/>
      <c r="EA80" s="482"/>
      <c r="EB80" s="482"/>
      <c r="EC80" s="482"/>
      <c r="ED80" s="482"/>
      <c r="EE80" s="482"/>
      <c r="EF80" s="482"/>
      <c r="EG80" s="482"/>
      <c r="EH80" s="482"/>
      <c r="EI80" s="482"/>
      <c r="EJ80" s="482"/>
      <c r="EK80" s="482"/>
      <c r="EL80" s="482"/>
      <c r="EM80" s="482"/>
      <c r="EN80" s="482"/>
      <c r="EO80" s="482"/>
      <c r="EP80" s="482"/>
      <c r="EQ80" s="482"/>
      <c r="ER80" s="482"/>
      <c r="ES80" s="482"/>
      <c r="ET80" s="482"/>
      <c r="EU80" s="482"/>
      <c r="EV80" s="482"/>
      <c r="EW80" s="482"/>
      <c r="EX80" s="482"/>
      <c r="EY80" s="482"/>
      <c r="EZ80" s="482"/>
      <c r="FA80" s="482"/>
      <c r="FB80" s="482"/>
      <c r="FC80" s="482"/>
      <c r="FD80" s="482"/>
      <c r="FE80" s="482"/>
      <c r="FF80" s="482"/>
      <c r="FG80" s="482"/>
      <c r="FH80" s="482"/>
      <c r="FI80" s="482"/>
      <c r="FJ80" s="482"/>
      <c r="FK80" s="482"/>
      <c r="FL80" s="482"/>
      <c r="FM80" s="482"/>
      <c r="FN80" s="482"/>
      <c r="FO80" s="482"/>
      <c r="FP80" s="482"/>
      <c r="FQ80" s="482"/>
      <c r="FR80" s="482"/>
      <c r="FS80" s="482"/>
      <c r="FT80" s="482"/>
      <c r="FU80" s="482"/>
      <c r="FV80" s="482"/>
      <c r="FW80" s="482"/>
      <c r="FX80" s="482"/>
      <c r="FY80" s="482"/>
      <c r="FZ80" s="482"/>
      <c r="GA80" s="482"/>
      <c r="GB80" s="482"/>
      <c r="GC80" s="482"/>
      <c r="GD80" s="482"/>
      <c r="GE80" s="482"/>
      <c r="GF80" s="482"/>
      <c r="GG80" s="482"/>
      <c r="GH80" s="482"/>
      <c r="GI80" s="482"/>
      <c r="GJ80" s="482"/>
      <c r="GK80" s="482"/>
      <c r="GL80" s="482"/>
      <c r="GM80" s="482"/>
      <c r="GN80" s="482"/>
      <c r="GO80" s="482"/>
      <c r="GP80" s="482"/>
      <c r="GQ80" s="482"/>
      <c r="GR80" s="482"/>
      <c r="GS80" s="482"/>
      <c r="GT80" s="482"/>
      <c r="GU80" s="482"/>
      <c r="GV80" s="482"/>
      <c r="GW80" s="482"/>
      <c r="GX80" s="482"/>
      <c r="GY80" s="482"/>
      <c r="GZ80" s="482"/>
      <c r="HA80" s="482"/>
      <c r="HB80" s="482"/>
      <c r="HC80" s="482"/>
      <c r="HD80" s="482"/>
      <c r="HE80" s="482"/>
      <c r="HF80" s="482"/>
      <c r="HG80" s="482"/>
      <c r="HH80" s="482"/>
      <c r="HI80" s="482"/>
      <c r="HJ80" s="482"/>
      <c r="HK80" s="482"/>
      <c r="HL80" s="482"/>
      <c r="HM80" s="482"/>
      <c r="HN80" s="482"/>
      <c r="HO80" s="482"/>
      <c r="HP80" s="482"/>
      <c r="HQ80" s="482"/>
      <c r="HR80" s="482"/>
      <c r="HS80" s="482"/>
      <c r="HT80" s="482"/>
      <c r="HU80" s="482"/>
      <c r="HV80" s="482"/>
      <c r="HW80" s="482"/>
      <c r="HX80" s="482"/>
      <c r="HY80" s="482"/>
      <c r="HZ80" s="482"/>
      <c r="IA80" s="482"/>
      <c r="IB80" s="482"/>
      <c r="IC80" s="482"/>
      <c r="ID80" s="482"/>
      <c r="IE80" s="482"/>
      <c r="IF80" s="482"/>
      <c r="IG80" s="482"/>
      <c r="IH80" s="482"/>
      <c r="II80" s="482"/>
      <c r="IJ80" s="482"/>
      <c r="IK80" s="482"/>
      <c r="IL80" s="482"/>
      <c r="IM80" s="482"/>
      <c r="IN80" s="482"/>
      <c r="IO80" s="482"/>
      <c r="IP80" s="482"/>
      <c r="IQ80" s="482"/>
      <c r="IR80" s="482"/>
    </row>
    <row r="81" spans="1:16" s="607" customFormat="1" ht="29.25" customHeight="1" thickBot="1">
      <c r="A81" s="666"/>
      <c r="B81" s="667" t="s">
        <v>974</v>
      </c>
      <c r="C81" s="668"/>
      <c r="D81" s="669"/>
      <c r="E81" s="670"/>
      <c r="F81" s="671" t="e">
        <f>F20+F42+F70+F76+F80</f>
        <v>#N/A</v>
      </c>
      <c r="G81" s="668"/>
      <c r="H81" s="669"/>
      <c r="I81" s="670"/>
      <c r="J81" s="671">
        <f aca="true" t="shared" si="9" ref="J81:P81">J20+J42+J70+J76+J80</f>
        <v>1107178931.3333333</v>
      </c>
      <c r="K81" s="671">
        <f t="shared" si="9"/>
        <v>1107179</v>
      </c>
      <c r="L81" s="671">
        <f t="shared" si="9"/>
        <v>1122387</v>
      </c>
      <c r="M81" s="671">
        <f t="shared" si="9"/>
        <v>1130285</v>
      </c>
      <c r="N81" s="671">
        <f t="shared" si="9"/>
        <v>1140761</v>
      </c>
      <c r="O81" s="671">
        <f t="shared" si="9"/>
        <v>1163047</v>
      </c>
      <c r="P81" s="672">
        <f t="shared" si="9"/>
        <v>1163048</v>
      </c>
    </row>
    <row r="82" ht="16.5" customHeight="1"/>
    <row r="83" ht="15">
      <c r="P83" s="611"/>
    </row>
  </sheetData>
  <sheetProtection selectLockedCells="1" selectUnlockedCells="1"/>
  <mergeCells count="9">
    <mergeCell ref="A1:P1"/>
    <mergeCell ref="A2:P2"/>
    <mergeCell ref="N3:O3"/>
    <mergeCell ref="A4:A5"/>
    <mergeCell ref="B4:B5"/>
    <mergeCell ref="C4:F4"/>
    <mergeCell ref="G4:P4"/>
    <mergeCell ref="C5:D5"/>
    <mergeCell ref="G5:H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64" r:id="rId1"/>
  <headerFooter alignWithMargins="0">
    <oddHeader>&amp;L17. melléklet a 16/2016.(V.26.) önkormányzati rendelethez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7">
      <selection activeCell="G4" sqref="G4"/>
    </sheetView>
  </sheetViews>
  <sheetFormatPr defaultColWidth="9.00390625" defaultRowHeight="12.75"/>
  <cols>
    <col min="1" max="1" width="63.25390625" style="0" customWidth="1"/>
    <col min="2" max="2" width="33.875" style="0" customWidth="1"/>
    <col min="3" max="3" width="12.00390625" style="0" customWidth="1"/>
    <col min="4" max="4" width="14.625" style="0" customWidth="1"/>
    <col min="5" max="5" width="13.875" style="0" customWidth="1"/>
    <col min="6" max="6" width="11.375" style="0" customWidth="1"/>
    <col min="7" max="7" width="10.625" style="0" customWidth="1"/>
    <col min="8" max="8" width="11.25390625" style="0" customWidth="1"/>
    <col min="9" max="9" width="13.625" style="0" customWidth="1"/>
    <col min="10" max="10" width="11.125" style="0" customWidth="1"/>
    <col min="11" max="11" width="10.375" style="0" customWidth="1"/>
    <col min="12" max="12" width="10.875" style="0" customWidth="1"/>
  </cols>
  <sheetData>
    <row r="1" spans="1:12" ht="15.75">
      <c r="A1" s="1335" t="s">
        <v>1417</v>
      </c>
      <c r="B1" s="1335"/>
      <c r="C1" s="1335"/>
      <c r="D1" s="1335"/>
      <c r="E1" s="1335"/>
      <c r="F1" s="1335"/>
      <c r="G1" s="1335"/>
      <c r="H1" s="1335"/>
      <c r="I1" s="1335"/>
      <c r="J1" s="1335"/>
      <c r="K1" s="1335"/>
      <c r="L1" s="1335"/>
    </row>
    <row r="2" spans="1:12" ht="16.5" thickBot="1">
      <c r="A2" s="940"/>
      <c r="B2" s="941"/>
      <c r="C2" s="942"/>
      <c r="D2" s="942"/>
      <c r="E2" s="943"/>
      <c r="F2" s="943"/>
      <c r="G2" s="943"/>
      <c r="H2" s="943"/>
      <c r="I2" s="943"/>
      <c r="J2" s="943"/>
      <c r="K2" s="944"/>
      <c r="L2" s="944"/>
    </row>
    <row r="3" spans="1:12" ht="15.75">
      <c r="A3" s="1336" t="s">
        <v>1320</v>
      </c>
      <c r="B3" s="1338" t="s">
        <v>1321</v>
      </c>
      <c r="C3" s="1340" t="s">
        <v>1322</v>
      </c>
      <c r="D3" s="1340" t="s">
        <v>1323</v>
      </c>
      <c r="E3" s="1342" t="s">
        <v>1324</v>
      </c>
      <c r="F3" s="1343"/>
      <c r="G3" s="1343"/>
      <c r="H3" s="1343"/>
      <c r="I3" s="1343"/>
      <c r="J3" s="1344"/>
      <c r="K3" s="1345" t="s">
        <v>418</v>
      </c>
      <c r="L3" s="1347" t="s">
        <v>1325</v>
      </c>
    </row>
    <row r="4" spans="1:12" ht="130.5" customHeight="1" thickBot="1">
      <c r="A4" s="1337"/>
      <c r="B4" s="1339"/>
      <c r="C4" s="1341"/>
      <c r="D4" s="1341"/>
      <c r="E4" s="945" t="s">
        <v>1326</v>
      </c>
      <c r="F4" s="945" t="s">
        <v>1327</v>
      </c>
      <c r="G4" s="945" t="s">
        <v>1328</v>
      </c>
      <c r="H4" s="945" t="s">
        <v>1329</v>
      </c>
      <c r="I4" s="945" t="s">
        <v>1330</v>
      </c>
      <c r="J4" s="945" t="s">
        <v>1331</v>
      </c>
      <c r="K4" s="1346"/>
      <c r="L4" s="1348"/>
    </row>
    <row r="5" spans="1:12" ht="27.75" customHeight="1">
      <c r="A5" s="946" t="s">
        <v>1332</v>
      </c>
      <c r="B5" s="980" t="s">
        <v>1333</v>
      </c>
      <c r="C5" s="947">
        <v>40148</v>
      </c>
      <c r="D5" s="947">
        <v>42185</v>
      </c>
      <c r="E5" s="948">
        <f aca="true" t="shared" si="0" ref="E5:E10">K5-G5-I5</f>
        <v>26063</v>
      </c>
      <c r="F5" s="948">
        <f>L5-H5-J5</f>
        <v>11648</v>
      </c>
      <c r="G5" s="948">
        <v>88380</v>
      </c>
      <c r="H5" s="948">
        <f>9502+45520</f>
        <v>55022</v>
      </c>
      <c r="I5" s="948">
        <v>420662</v>
      </c>
      <c r="J5" s="949">
        <f>14980+12763</f>
        <v>27743</v>
      </c>
      <c r="K5" s="950">
        <f>553753-18648</f>
        <v>535105</v>
      </c>
      <c r="L5" s="951">
        <v>94413</v>
      </c>
    </row>
    <row r="6" spans="1:12" ht="45.75" customHeight="1">
      <c r="A6" s="952" t="s">
        <v>1334</v>
      </c>
      <c r="B6" s="981" t="s">
        <v>1335</v>
      </c>
      <c r="C6" s="953">
        <v>40935</v>
      </c>
      <c r="D6" s="953">
        <v>42035</v>
      </c>
      <c r="E6" s="954">
        <f t="shared" si="0"/>
        <v>100358</v>
      </c>
      <c r="F6" s="948">
        <v>0</v>
      </c>
      <c r="G6" s="954">
        <v>51266</v>
      </c>
      <c r="H6" s="954">
        <v>2413</v>
      </c>
      <c r="I6" s="954">
        <v>281002</v>
      </c>
      <c r="J6" s="955">
        <v>37646</v>
      </c>
      <c r="K6" s="956">
        <f>432626</f>
        <v>432626</v>
      </c>
      <c r="L6" s="957">
        <v>20745</v>
      </c>
    </row>
    <row r="7" spans="1:12" ht="24" customHeight="1">
      <c r="A7" s="952" t="s">
        <v>1336</v>
      </c>
      <c r="B7" s="981" t="s">
        <v>1337</v>
      </c>
      <c r="C7" s="953">
        <v>41352</v>
      </c>
      <c r="D7" s="953">
        <v>41973</v>
      </c>
      <c r="E7" s="954">
        <v>0</v>
      </c>
      <c r="F7" s="948">
        <v>0</v>
      </c>
      <c r="G7" s="954">
        <v>0</v>
      </c>
      <c r="H7" s="954">
        <v>0</v>
      </c>
      <c r="I7" s="954">
        <v>184718</v>
      </c>
      <c r="J7" s="955">
        <f>19576+45351</f>
        <v>64927</v>
      </c>
      <c r="K7" s="956">
        <f>184718+E7</f>
        <v>184718</v>
      </c>
      <c r="L7" s="957">
        <v>45350</v>
      </c>
    </row>
    <row r="8" spans="1:12" ht="22.5" customHeight="1">
      <c r="A8" s="952" t="s">
        <v>1338</v>
      </c>
      <c r="B8" s="981" t="s">
        <v>1339</v>
      </c>
      <c r="C8" s="953">
        <v>41067</v>
      </c>
      <c r="D8" s="953">
        <v>42338</v>
      </c>
      <c r="E8" s="954">
        <f t="shared" si="0"/>
        <v>641426</v>
      </c>
      <c r="F8" s="954">
        <f>L8-H8-J8</f>
        <v>470850</v>
      </c>
      <c r="G8" s="954">
        <v>112084</v>
      </c>
      <c r="H8" s="954">
        <f>74827+17007</f>
        <v>91834</v>
      </c>
      <c r="I8" s="954">
        <v>641419</v>
      </c>
      <c r="J8" s="955">
        <f>89762+476279</f>
        <v>566041</v>
      </c>
      <c r="K8" s="956">
        <v>1394929</v>
      </c>
      <c r="L8" s="957">
        <v>1128725</v>
      </c>
    </row>
    <row r="9" spans="1:12" ht="24.75" customHeight="1">
      <c r="A9" s="952" t="s">
        <v>1340</v>
      </c>
      <c r="B9" s="981" t="s">
        <v>1341</v>
      </c>
      <c r="C9" s="953">
        <v>41682</v>
      </c>
      <c r="D9" s="953">
        <v>42247</v>
      </c>
      <c r="E9" s="954">
        <f t="shared" si="0"/>
        <v>0</v>
      </c>
      <c r="F9" s="954">
        <v>0</v>
      </c>
      <c r="G9" s="954">
        <v>0</v>
      </c>
      <c r="H9" s="954">
        <v>0</v>
      </c>
      <c r="I9" s="954">
        <v>275492</v>
      </c>
      <c r="J9" s="955">
        <f>186914+64844</f>
        <v>251758</v>
      </c>
      <c r="K9" s="956">
        <v>275492</v>
      </c>
      <c r="L9" s="957">
        <v>201649</v>
      </c>
    </row>
    <row r="10" spans="1:12" ht="29.25" customHeight="1">
      <c r="A10" s="952" t="s">
        <v>1342</v>
      </c>
      <c r="B10" s="981" t="s">
        <v>1343</v>
      </c>
      <c r="C10" s="953">
        <v>40730</v>
      </c>
      <c r="D10" s="953">
        <v>41639</v>
      </c>
      <c r="E10" s="954">
        <f t="shared" si="0"/>
        <v>34966</v>
      </c>
      <c r="F10" s="954">
        <v>0</v>
      </c>
      <c r="G10" s="954">
        <v>0</v>
      </c>
      <c r="H10" s="954">
        <v>0</v>
      </c>
      <c r="I10" s="954">
        <v>444520</v>
      </c>
      <c r="J10" s="955">
        <v>24686</v>
      </c>
      <c r="K10" s="956">
        <v>479486</v>
      </c>
      <c r="L10" s="957"/>
    </row>
    <row r="11" spans="1:12" ht="31.5" customHeight="1">
      <c r="A11" s="952" t="s">
        <v>1344</v>
      </c>
      <c r="B11" s="981" t="s">
        <v>1345</v>
      </c>
      <c r="C11" s="953">
        <v>41473</v>
      </c>
      <c r="D11" s="953">
        <v>42151</v>
      </c>
      <c r="E11" s="954">
        <v>0</v>
      </c>
      <c r="F11" s="954">
        <v>0</v>
      </c>
      <c r="G11" s="954">
        <v>0</v>
      </c>
      <c r="H11" s="954">
        <v>0</v>
      </c>
      <c r="I11" s="954">
        <v>46350</v>
      </c>
      <c r="J11" s="955">
        <v>14421</v>
      </c>
      <c r="K11" s="956">
        <v>46350</v>
      </c>
      <c r="L11" s="957">
        <v>20613</v>
      </c>
    </row>
    <row r="12" spans="1:12" ht="23.25" customHeight="1">
      <c r="A12" s="952" t="s">
        <v>1346</v>
      </c>
      <c r="B12" s="981" t="s">
        <v>1347</v>
      </c>
      <c r="C12" s="953">
        <v>41340</v>
      </c>
      <c r="D12" s="953">
        <v>42338</v>
      </c>
      <c r="E12" s="954">
        <f>K12-G12-I12</f>
        <v>0</v>
      </c>
      <c r="F12" s="954">
        <v>0</v>
      </c>
      <c r="G12" s="954">
        <v>0</v>
      </c>
      <c r="H12" s="954">
        <v>0</v>
      </c>
      <c r="I12" s="954">
        <v>68453</v>
      </c>
      <c r="J12" s="955">
        <v>66802</v>
      </c>
      <c r="K12" s="956">
        <v>68453</v>
      </c>
      <c r="L12" s="957">
        <v>66802</v>
      </c>
    </row>
    <row r="13" spans="1:12" ht="22.5" customHeight="1">
      <c r="A13" s="952" t="s">
        <v>1348</v>
      </c>
      <c r="B13" s="982" t="s">
        <v>1349</v>
      </c>
      <c r="C13" s="958">
        <v>41638</v>
      </c>
      <c r="D13" s="958">
        <v>41927</v>
      </c>
      <c r="E13" s="959">
        <v>2170</v>
      </c>
      <c r="F13" s="959"/>
      <c r="G13" s="959">
        <v>25387</v>
      </c>
      <c r="H13" s="959">
        <v>456</v>
      </c>
      <c r="I13" s="959">
        <v>143859</v>
      </c>
      <c r="J13" s="960">
        <v>2582</v>
      </c>
      <c r="K13" s="961">
        <v>169246</v>
      </c>
      <c r="L13" s="962">
        <v>0</v>
      </c>
    </row>
    <row r="14" spans="1:12" ht="27.75" customHeight="1">
      <c r="A14" s="952" t="s">
        <v>1350</v>
      </c>
      <c r="B14" s="981" t="s">
        <v>1351</v>
      </c>
      <c r="C14" s="953">
        <v>41596</v>
      </c>
      <c r="D14" s="953">
        <v>42004</v>
      </c>
      <c r="E14" s="954">
        <f aca="true" t="shared" si="1" ref="E14:E21">K14-G14-I14</f>
        <v>18</v>
      </c>
      <c r="F14" s="954">
        <v>0</v>
      </c>
      <c r="G14" s="954">
        <v>0</v>
      </c>
      <c r="H14" s="954">
        <v>0</v>
      </c>
      <c r="I14" s="954">
        <v>39992</v>
      </c>
      <c r="J14" s="955">
        <v>18283</v>
      </c>
      <c r="K14" s="956">
        <v>40010</v>
      </c>
      <c r="L14" s="957">
        <v>10278</v>
      </c>
    </row>
    <row r="15" spans="1:12" ht="24.75" customHeight="1">
      <c r="A15" s="952" t="s">
        <v>1352</v>
      </c>
      <c r="B15" s="981" t="s">
        <v>1353</v>
      </c>
      <c r="C15" s="953">
        <v>41670</v>
      </c>
      <c r="D15" s="953">
        <v>41943</v>
      </c>
      <c r="E15" s="954">
        <f t="shared" si="1"/>
        <v>0</v>
      </c>
      <c r="F15" s="954">
        <v>0</v>
      </c>
      <c r="G15" s="954">
        <v>0</v>
      </c>
      <c r="H15" s="954">
        <v>0</v>
      </c>
      <c r="I15" s="954">
        <v>16000</v>
      </c>
      <c r="J15" s="955">
        <v>0</v>
      </c>
      <c r="K15" s="956">
        <v>16000</v>
      </c>
      <c r="L15" s="957">
        <v>14767</v>
      </c>
    </row>
    <row r="16" spans="1:12" ht="24.75" customHeight="1">
      <c r="A16" s="952" t="s">
        <v>1354</v>
      </c>
      <c r="B16" s="981" t="s">
        <v>1355</v>
      </c>
      <c r="C16" s="953">
        <v>41703</v>
      </c>
      <c r="D16" s="953">
        <v>42155</v>
      </c>
      <c r="E16" s="954">
        <f t="shared" si="1"/>
        <v>4544</v>
      </c>
      <c r="F16" s="954">
        <v>0</v>
      </c>
      <c r="G16" s="954">
        <v>0</v>
      </c>
      <c r="H16" s="954">
        <v>0</v>
      </c>
      <c r="I16" s="954">
        <v>200234</v>
      </c>
      <c r="J16" s="955">
        <f>70105+118262</f>
        <v>188367</v>
      </c>
      <c r="K16" s="956">
        <v>204778</v>
      </c>
      <c r="L16" s="957">
        <v>184604</v>
      </c>
    </row>
    <row r="17" spans="1:12" ht="31.5" customHeight="1">
      <c r="A17" s="963" t="s">
        <v>1356</v>
      </c>
      <c r="B17" s="983" t="s">
        <v>1357</v>
      </c>
      <c r="C17" s="964">
        <v>41919</v>
      </c>
      <c r="D17" s="964">
        <v>42185</v>
      </c>
      <c r="E17" s="965">
        <f t="shared" si="1"/>
        <v>0</v>
      </c>
      <c r="F17" s="965"/>
      <c r="G17" s="965"/>
      <c r="H17" s="965"/>
      <c r="I17" s="965">
        <v>15000</v>
      </c>
      <c r="J17" s="966">
        <v>13395</v>
      </c>
      <c r="K17" s="967">
        <v>15000</v>
      </c>
      <c r="L17" s="968">
        <v>11478</v>
      </c>
    </row>
    <row r="18" spans="1:12" ht="24" customHeight="1">
      <c r="A18" s="952" t="s">
        <v>1358</v>
      </c>
      <c r="B18" s="981" t="s">
        <v>1359</v>
      </c>
      <c r="C18" s="953">
        <v>42110</v>
      </c>
      <c r="D18" s="953">
        <v>42338</v>
      </c>
      <c r="E18" s="954">
        <f t="shared" si="1"/>
        <v>0</v>
      </c>
      <c r="F18" s="954">
        <v>0</v>
      </c>
      <c r="G18" s="954">
        <v>0</v>
      </c>
      <c r="H18" s="954">
        <v>0</v>
      </c>
      <c r="I18" s="954">
        <v>35495</v>
      </c>
      <c r="J18" s="955">
        <f>8513+23657</f>
        <v>32170</v>
      </c>
      <c r="K18" s="956">
        <v>35495</v>
      </c>
      <c r="L18" s="957">
        <v>35495</v>
      </c>
    </row>
    <row r="19" spans="1:12" ht="24.75" customHeight="1">
      <c r="A19" s="952" t="s">
        <v>1360</v>
      </c>
      <c r="B19" s="981" t="s">
        <v>1361</v>
      </c>
      <c r="C19" s="953">
        <v>42094</v>
      </c>
      <c r="D19" s="953">
        <v>42338</v>
      </c>
      <c r="E19" s="954">
        <f t="shared" si="1"/>
        <v>0</v>
      </c>
      <c r="F19" s="954">
        <v>0</v>
      </c>
      <c r="G19" s="954">
        <v>0</v>
      </c>
      <c r="H19" s="954">
        <v>0</v>
      </c>
      <c r="I19" s="954">
        <v>21960</v>
      </c>
      <c r="J19" s="955">
        <v>426</v>
      </c>
      <c r="K19" s="956">
        <v>21960</v>
      </c>
      <c r="L19" s="957">
        <v>15670</v>
      </c>
    </row>
    <row r="20" spans="1:12" ht="75" customHeight="1">
      <c r="A20" s="963" t="s">
        <v>1362</v>
      </c>
      <c r="B20" s="983" t="s">
        <v>1363</v>
      </c>
      <c r="C20" s="969" t="s">
        <v>1364</v>
      </c>
      <c r="D20" s="964">
        <v>42185</v>
      </c>
      <c r="E20" s="965">
        <f t="shared" si="1"/>
        <v>0</v>
      </c>
      <c r="F20" s="965"/>
      <c r="G20" s="965"/>
      <c r="H20" s="965"/>
      <c r="I20" s="965">
        <v>15246</v>
      </c>
      <c r="J20" s="966">
        <v>11022</v>
      </c>
      <c r="K20" s="967">
        <v>15246</v>
      </c>
      <c r="L20" s="968">
        <v>11734</v>
      </c>
    </row>
    <row r="21" spans="1:12" ht="21" customHeight="1" thickBot="1">
      <c r="A21" s="970" t="s">
        <v>1365</v>
      </c>
      <c r="B21" s="984" t="s">
        <v>1366</v>
      </c>
      <c r="C21" s="971">
        <v>41153</v>
      </c>
      <c r="D21" s="971">
        <v>42094</v>
      </c>
      <c r="E21" s="972">
        <f t="shared" si="1"/>
        <v>0</v>
      </c>
      <c r="F21" s="972">
        <v>0</v>
      </c>
      <c r="G21" s="972">
        <v>0</v>
      </c>
      <c r="H21" s="972">
        <v>0</v>
      </c>
      <c r="I21" s="972">
        <v>900</v>
      </c>
      <c r="J21" s="973">
        <v>268</v>
      </c>
      <c r="K21" s="974">
        <v>900</v>
      </c>
      <c r="L21" s="975">
        <v>897</v>
      </c>
    </row>
    <row r="22" spans="1:12" ht="20.25" customHeight="1" thickBot="1">
      <c r="A22" s="976" t="s">
        <v>272</v>
      </c>
      <c r="B22" s="977"/>
      <c r="C22" s="978"/>
      <c r="D22" s="978"/>
      <c r="E22" s="979">
        <f aca="true" t="shared" si="2" ref="E22:L22">SUM(E5:E21)</f>
        <v>809545</v>
      </c>
      <c r="F22" s="979">
        <f t="shared" si="2"/>
        <v>482498</v>
      </c>
      <c r="G22" s="979">
        <f t="shared" si="2"/>
        <v>277117</v>
      </c>
      <c r="H22" s="979">
        <f t="shared" si="2"/>
        <v>149725</v>
      </c>
      <c r="I22" s="979">
        <f t="shared" si="2"/>
        <v>2851302</v>
      </c>
      <c r="J22" s="979">
        <f t="shared" si="2"/>
        <v>1320537</v>
      </c>
      <c r="K22" s="979">
        <f t="shared" si="2"/>
        <v>3935794</v>
      </c>
      <c r="L22" s="979">
        <f t="shared" si="2"/>
        <v>1863220</v>
      </c>
    </row>
  </sheetData>
  <sheetProtection/>
  <mergeCells count="8">
    <mergeCell ref="A1:L1"/>
    <mergeCell ref="A3:A4"/>
    <mergeCell ref="B3:B4"/>
    <mergeCell ref="C3:C4"/>
    <mergeCell ref="D3:D4"/>
    <mergeCell ref="E3:J3"/>
    <mergeCell ref="K3:K4"/>
    <mergeCell ref="L3:L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  <headerFooter>
    <oddHeader>&amp;L18. sz. melléklet a 16/2016.(V.26.)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E39"/>
  <sheetViews>
    <sheetView view="pageBreakPreview" zoomScaleSheetLayoutView="100" workbookViewId="0" topLeftCell="A7">
      <selection activeCell="D39" sqref="D39"/>
    </sheetView>
  </sheetViews>
  <sheetFormatPr defaultColWidth="9.00390625" defaultRowHeight="12.75"/>
  <cols>
    <col min="1" max="1" width="56.125" style="307" customWidth="1"/>
    <col min="2" max="2" width="11.25390625" style="72" customWidth="1"/>
    <col min="3" max="4" width="14.875" style="69" customWidth="1"/>
    <col min="5" max="5" width="17.25390625" style="69" customWidth="1"/>
    <col min="6" max="16384" width="9.125" style="69" customWidth="1"/>
  </cols>
  <sheetData>
    <row r="3" spans="1:4" ht="15">
      <c r="A3" s="1349" t="s">
        <v>233</v>
      </c>
      <c r="B3" s="1349"/>
      <c r="C3" s="1349"/>
      <c r="D3" s="1349"/>
    </row>
    <row r="4" spans="1:4" ht="15.75" thickBot="1">
      <c r="A4" s="300"/>
      <c r="B4" s="75"/>
      <c r="C4" s="567"/>
      <c r="D4" s="567"/>
    </row>
    <row r="5" spans="1:5" ht="15">
      <c r="A5" s="301" t="s">
        <v>621</v>
      </c>
      <c r="B5" s="205" t="s">
        <v>622</v>
      </c>
      <c r="C5" s="427" t="s">
        <v>976</v>
      </c>
      <c r="D5" s="592" t="s">
        <v>1032</v>
      </c>
      <c r="E5" s="271"/>
    </row>
    <row r="6" spans="1:4" s="70" customFormat="1" ht="14.25">
      <c r="A6" s="302" t="s">
        <v>145</v>
      </c>
      <c r="B6" s="203">
        <f>SUM(B8,B11,B15)</f>
        <v>193800</v>
      </c>
      <c r="C6" s="203">
        <f>SUM(C8,C11,C15)</f>
        <v>4168</v>
      </c>
      <c r="D6" s="530">
        <f>SUM(D8,D11,D15)</f>
        <v>0</v>
      </c>
    </row>
    <row r="7" spans="1:4" s="70" customFormat="1" ht="14.25">
      <c r="A7" s="303"/>
      <c r="B7" s="204"/>
      <c r="C7" s="589"/>
      <c r="D7" s="308"/>
    </row>
    <row r="8" spans="1:4" s="71" customFormat="1" ht="14.25">
      <c r="A8" s="302" t="s">
        <v>647</v>
      </c>
      <c r="B8" s="203">
        <f>SUM(B9)</f>
        <v>15000</v>
      </c>
      <c r="C8" s="203">
        <f>SUM(C9)</f>
        <v>3211</v>
      </c>
      <c r="D8" s="530">
        <f>SUM(D9)</f>
        <v>0</v>
      </c>
    </row>
    <row r="9" spans="1:4" ht="15">
      <c r="A9" s="304" t="s">
        <v>647</v>
      </c>
      <c r="B9" s="106">
        <v>15000</v>
      </c>
      <c r="C9" s="590">
        <v>3211</v>
      </c>
      <c r="D9" s="310">
        <v>0</v>
      </c>
    </row>
    <row r="10" spans="1:4" ht="15">
      <c r="A10" s="304"/>
      <c r="B10" s="106"/>
      <c r="C10" s="590"/>
      <c r="D10" s="310"/>
    </row>
    <row r="11" spans="1:4" s="71" customFormat="1" ht="14.25">
      <c r="A11" s="302" t="s">
        <v>648</v>
      </c>
      <c r="B11" s="203">
        <f>SUM(B12:B13)</f>
        <v>100000</v>
      </c>
      <c r="C11" s="203">
        <f>SUM(C12:C13)</f>
        <v>957</v>
      </c>
      <c r="D11" s="530">
        <f>SUM(D12:D13)</f>
        <v>0</v>
      </c>
    </row>
    <row r="12" spans="1:4" ht="15">
      <c r="A12" s="304" t="s">
        <v>648</v>
      </c>
      <c r="B12" s="106">
        <v>100000</v>
      </c>
      <c r="C12" s="590">
        <v>957</v>
      </c>
      <c r="D12" s="310">
        <v>0</v>
      </c>
    </row>
    <row r="13" spans="1:4" ht="15">
      <c r="A13" s="304"/>
      <c r="B13" s="106"/>
      <c r="C13" s="590"/>
      <c r="D13" s="310"/>
    </row>
    <row r="14" spans="1:4" ht="15">
      <c r="A14" s="304"/>
      <c r="B14" s="106"/>
      <c r="C14" s="590"/>
      <c r="D14" s="310"/>
    </row>
    <row r="15" spans="1:4" ht="15">
      <c r="A15" s="302" t="s">
        <v>649</v>
      </c>
      <c r="B15" s="203">
        <f>SUM(B16:B18)</f>
        <v>78800</v>
      </c>
      <c r="C15" s="203">
        <f>SUM(C16:C18)</f>
        <v>0</v>
      </c>
      <c r="D15" s="530">
        <f>SUM(D16:D18)</f>
        <v>0</v>
      </c>
    </row>
    <row r="16" spans="1:4" ht="29.25" customHeight="1">
      <c r="A16" s="304" t="s">
        <v>490</v>
      </c>
      <c r="B16" s="106">
        <v>62000</v>
      </c>
      <c r="C16" s="590">
        <v>0</v>
      </c>
      <c r="D16" s="310">
        <v>0</v>
      </c>
    </row>
    <row r="17" spans="1:4" ht="15">
      <c r="A17" s="304" t="s">
        <v>491</v>
      </c>
      <c r="B17" s="106">
        <v>15000</v>
      </c>
      <c r="C17" s="590">
        <v>0</v>
      </c>
      <c r="D17" s="310">
        <v>0</v>
      </c>
    </row>
    <row r="18" spans="1:4" ht="30.75" customHeight="1">
      <c r="A18" s="304" t="s">
        <v>494</v>
      </c>
      <c r="B18" s="106">
        <v>1800</v>
      </c>
      <c r="C18" s="590">
        <v>0</v>
      </c>
      <c r="D18" s="310">
        <v>0</v>
      </c>
    </row>
    <row r="19" spans="1:4" ht="15">
      <c r="A19" s="304"/>
      <c r="B19" s="106"/>
      <c r="C19" s="590">
        <v>0</v>
      </c>
      <c r="D19" s="310">
        <v>0</v>
      </c>
    </row>
    <row r="20" spans="1:4" s="70" customFormat="1" ht="14.25">
      <c r="A20" s="302" t="s">
        <v>144</v>
      </c>
      <c r="B20" s="203">
        <f>SUM(B22,B26)</f>
        <v>247117</v>
      </c>
      <c r="C20" s="203">
        <f>SUM(C22,C26)</f>
        <v>0</v>
      </c>
      <c r="D20" s="530">
        <f>SUM(D22,D26)</f>
        <v>0</v>
      </c>
    </row>
    <row r="21" spans="1:4" s="70" customFormat="1" ht="14.25">
      <c r="A21" s="302"/>
      <c r="B21" s="203"/>
      <c r="C21" s="589"/>
      <c r="D21" s="308"/>
    </row>
    <row r="22" spans="1:4" s="71" customFormat="1" ht="14.25">
      <c r="A22" s="302" t="s">
        <v>0</v>
      </c>
      <c r="B22" s="203">
        <f>SUM(B23:B24)</f>
        <v>77075</v>
      </c>
      <c r="C22" s="203">
        <f>SUM(C23:C24)</f>
        <v>0</v>
      </c>
      <c r="D22" s="530">
        <f>SUM(D23:D24)</f>
        <v>0</v>
      </c>
    </row>
    <row r="23" spans="1:4" ht="15">
      <c r="A23" s="304" t="s">
        <v>0</v>
      </c>
      <c r="B23" s="106">
        <v>50000</v>
      </c>
      <c r="C23" s="590">
        <v>0</v>
      </c>
      <c r="D23" s="310">
        <v>0</v>
      </c>
    </row>
    <row r="24" spans="1:4" ht="30.75" customHeight="1">
      <c r="A24" s="304" t="s">
        <v>489</v>
      </c>
      <c r="B24" s="106">
        <v>27075</v>
      </c>
      <c r="C24" s="590">
        <v>0</v>
      </c>
      <c r="D24" s="310">
        <v>0</v>
      </c>
    </row>
    <row r="25" spans="1:4" ht="15">
      <c r="A25" s="304"/>
      <c r="B25" s="106"/>
      <c r="C25" s="590"/>
      <c r="D25" s="310"/>
    </row>
    <row r="26" spans="1:4" s="71" customFormat="1" ht="14.25">
      <c r="A26" s="302" t="s">
        <v>1</v>
      </c>
      <c r="B26" s="203">
        <f>SUM(B31,B28,B35)</f>
        <v>170042</v>
      </c>
      <c r="C26" s="203">
        <f>SUM(C31,C28,C35)</f>
        <v>0</v>
      </c>
      <c r="D26" s="530">
        <f>SUM(D31,D28,D35)</f>
        <v>0</v>
      </c>
    </row>
    <row r="27" spans="1:4" s="71" customFormat="1" ht="14.25">
      <c r="A27" s="302"/>
      <c r="B27" s="203"/>
      <c r="C27" s="591"/>
      <c r="D27" s="309"/>
    </row>
    <row r="28" spans="1:4" s="76" customFormat="1" ht="15">
      <c r="A28" s="305" t="s">
        <v>595</v>
      </c>
      <c r="B28" s="105">
        <f>SUM(B29:B29)</f>
        <v>147300</v>
      </c>
      <c r="C28" s="105">
        <f>SUM(C29:C29)</f>
        <v>0</v>
      </c>
      <c r="D28" s="531">
        <f>SUM(D29:D29)</f>
        <v>0</v>
      </c>
    </row>
    <row r="29" spans="1:4" ht="15">
      <c r="A29" s="304" t="s">
        <v>51</v>
      </c>
      <c r="B29" s="106">
        <v>147300</v>
      </c>
      <c r="C29" s="590">
        <v>0</v>
      </c>
      <c r="D29" s="310"/>
    </row>
    <row r="30" spans="1:4" ht="15">
      <c r="A30" s="304"/>
      <c r="B30" s="106"/>
      <c r="C30" s="590"/>
      <c r="D30" s="310"/>
    </row>
    <row r="31" spans="1:4" s="76" customFormat="1" ht="15">
      <c r="A31" s="305" t="s">
        <v>129</v>
      </c>
      <c r="B31" s="105">
        <f>SUM(B32:B33)</f>
        <v>16392</v>
      </c>
      <c r="C31" s="105">
        <f>SUM(C32:C33)</f>
        <v>0</v>
      </c>
      <c r="D31" s="531">
        <f>SUM(D32:D33)</f>
        <v>0</v>
      </c>
    </row>
    <row r="32" spans="1:4" ht="45">
      <c r="A32" s="304" t="s">
        <v>59</v>
      </c>
      <c r="B32" s="106">
        <v>15000</v>
      </c>
      <c r="C32" s="590">
        <v>0</v>
      </c>
      <c r="D32" s="310">
        <v>0</v>
      </c>
    </row>
    <row r="33" spans="1:4" ht="15">
      <c r="A33" s="304" t="s">
        <v>596</v>
      </c>
      <c r="B33" s="106">
        <v>1392</v>
      </c>
      <c r="C33" s="590">
        <v>0</v>
      </c>
      <c r="D33" s="310">
        <v>0</v>
      </c>
    </row>
    <row r="34" spans="1:4" ht="15">
      <c r="A34" s="304"/>
      <c r="B34" s="106"/>
      <c r="C34" s="590"/>
      <c r="D34" s="310"/>
    </row>
    <row r="35" spans="1:4" s="76" customFormat="1" ht="19.5" customHeight="1">
      <c r="A35" s="305" t="s">
        <v>593</v>
      </c>
      <c r="B35" s="105">
        <f>SUM(B36:B37)</f>
        <v>6350</v>
      </c>
      <c r="C35" s="105">
        <f>SUM(C36:C37)</f>
        <v>0</v>
      </c>
      <c r="D35" s="531">
        <f>SUM(D36:D37)</f>
        <v>0</v>
      </c>
    </row>
    <row r="36" spans="1:4" ht="30">
      <c r="A36" s="304" t="s">
        <v>594</v>
      </c>
      <c r="B36" s="106">
        <v>6350</v>
      </c>
      <c r="C36" s="590">
        <v>0</v>
      </c>
      <c r="D36" s="310">
        <v>0</v>
      </c>
    </row>
    <row r="37" spans="1:4" ht="15">
      <c r="A37" s="304"/>
      <c r="B37" s="106"/>
      <c r="C37" s="590"/>
      <c r="D37" s="310"/>
    </row>
    <row r="38" spans="1:4" ht="15">
      <c r="A38" s="304"/>
      <c r="B38" s="106"/>
      <c r="C38" s="590"/>
      <c r="D38" s="310"/>
    </row>
    <row r="39" spans="1:4" s="71" customFormat="1" ht="19.5" customHeight="1" thickBot="1">
      <c r="A39" s="306" t="s">
        <v>2</v>
      </c>
      <c r="B39" s="206">
        <f>SUM(B6,B20)</f>
        <v>440917</v>
      </c>
      <c r="C39" s="206">
        <f>SUM(C6,C20)</f>
        <v>4168</v>
      </c>
      <c r="D39" s="532">
        <f>SUM(D6,D20)</f>
        <v>0</v>
      </c>
    </row>
  </sheetData>
  <sheetProtection/>
  <mergeCells count="1">
    <mergeCell ref="A3:D3"/>
  </mergeCells>
  <printOptions horizontalCentered="1"/>
  <pageMargins left="0.4724409448818898" right="0.4724409448818898" top="0.6299212598425197" bottom="0.7874015748031497" header="0.4724409448818898" footer="0.5118110236220472"/>
  <pageSetup fitToWidth="0" horizontalDpi="600" verticalDpi="600" orientation="portrait" paperSize="9" scale="97" r:id="rId1"/>
  <headerFooter alignWithMargins="0">
    <oddHeader>&amp;L19. melléklet a 16/2016.(V.26.)   önkormányzati rendelethez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="115" zoomScaleNormal="115" zoomScalePageLayoutView="0" workbookViewId="0" topLeftCell="A1">
      <selection activeCell="D13" sqref="D13"/>
    </sheetView>
  </sheetViews>
  <sheetFormatPr defaultColWidth="9.00390625" defaultRowHeight="12.75"/>
  <cols>
    <col min="1" max="1" width="78.25390625" style="594" customWidth="1"/>
    <col min="2" max="2" width="11.875" style="595" customWidth="1"/>
    <col min="3" max="16384" width="9.125" style="593" customWidth="1"/>
  </cols>
  <sheetData>
    <row r="2" spans="1:2" ht="15.75">
      <c r="A2" s="1350" t="s">
        <v>687</v>
      </c>
      <c r="B2" s="1350"/>
    </row>
    <row r="3" spans="1:2" ht="15.75">
      <c r="A3" s="1350" t="s">
        <v>1080</v>
      </c>
      <c r="B3" s="1350"/>
    </row>
    <row r="4" spans="1:2" ht="15.75">
      <c r="A4" s="1350" t="s">
        <v>1051</v>
      </c>
      <c r="B4" s="1350"/>
    </row>
    <row r="5" ht="16.5" thickBot="1"/>
    <row r="6" spans="1:2" ht="15.75">
      <c r="A6" s="673" t="s">
        <v>1079</v>
      </c>
      <c r="B6" s="674"/>
    </row>
    <row r="7" spans="1:2" ht="15.75">
      <c r="A7" s="675" t="s">
        <v>1052</v>
      </c>
      <c r="B7" s="676"/>
    </row>
    <row r="8" spans="1:2" ht="15.75">
      <c r="A8" s="677" t="s">
        <v>1053</v>
      </c>
      <c r="B8" s="676"/>
    </row>
    <row r="9" spans="1:2" ht="15.75">
      <c r="A9" s="678" t="s">
        <v>1054</v>
      </c>
      <c r="B9" s="676"/>
    </row>
    <row r="10" spans="1:2" ht="15.75">
      <c r="A10" s="678" t="s">
        <v>1055</v>
      </c>
      <c r="B10" s="676">
        <v>3476</v>
      </c>
    </row>
    <row r="11" spans="1:2" ht="18.75">
      <c r="A11" s="678" t="s">
        <v>1056</v>
      </c>
      <c r="B11" s="676">
        <v>147</v>
      </c>
    </row>
    <row r="12" spans="1:2" ht="15.75">
      <c r="A12" s="678" t="s">
        <v>1057</v>
      </c>
      <c r="B12" s="676"/>
    </row>
    <row r="13" spans="1:2" ht="15.75">
      <c r="A13" s="679" t="s">
        <v>1058</v>
      </c>
      <c r="B13" s="680">
        <v>19757</v>
      </c>
    </row>
    <row r="14" spans="1:2" ht="15.75">
      <c r="A14" s="677" t="s">
        <v>1077</v>
      </c>
      <c r="B14" s="681">
        <f>B13+B11+B10</f>
        <v>23380</v>
      </c>
    </row>
    <row r="15" spans="1:2" ht="15.75">
      <c r="A15" s="677" t="s">
        <v>1078</v>
      </c>
      <c r="B15" s="676"/>
    </row>
    <row r="16" spans="1:2" ht="15.75">
      <c r="A16" s="678" t="s">
        <v>1059</v>
      </c>
      <c r="B16" s="676"/>
    </row>
    <row r="17" spans="1:2" ht="15.75">
      <c r="A17" s="678" t="s">
        <v>1060</v>
      </c>
      <c r="B17" s="676">
        <v>4558</v>
      </c>
    </row>
    <row r="18" spans="1:2" ht="15.75">
      <c r="A18" s="677" t="s">
        <v>1076</v>
      </c>
      <c r="B18" s="681">
        <f>SUM(B17)</f>
        <v>4558</v>
      </c>
    </row>
    <row r="19" spans="1:2" ht="35.25" customHeight="1">
      <c r="A19" s="682" t="s">
        <v>1061</v>
      </c>
      <c r="B19" s="676"/>
    </row>
    <row r="20" spans="1:2" ht="14.25" customHeight="1">
      <c r="A20" s="677" t="s">
        <v>1075</v>
      </c>
      <c r="B20" s="681"/>
    </row>
    <row r="21" spans="1:2" ht="15.75">
      <c r="A21" s="678" t="s">
        <v>1059</v>
      </c>
      <c r="B21" s="676">
        <v>526</v>
      </c>
    </row>
    <row r="22" spans="1:2" ht="15.75">
      <c r="A22" s="678" t="s">
        <v>1319</v>
      </c>
      <c r="B22" s="676">
        <v>1036</v>
      </c>
    </row>
    <row r="23" spans="1:2" ht="15.75">
      <c r="A23" s="678" t="s">
        <v>1318</v>
      </c>
      <c r="B23" s="676">
        <v>240</v>
      </c>
    </row>
    <row r="24" spans="1:2" ht="15.75">
      <c r="A24" s="678" t="s">
        <v>1090</v>
      </c>
      <c r="B24" s="683">
        <v>110</v>
      </c>
    </row>
    <row r="25" spans="1:2" ht="15.75">
      <c r="A25" s="678" t="s">
        <v>34</v>
      </c>
      <c r="B25" s="676">
        <v>18174</v>
      </c>
    </row>
    <row r="26" spans="1:2" ht="15.75">
      <c r="A26" s="678" t="s">
        <v>492</v>
      </c>
      <c r="B26" s="676">
        <v>1229</v>
      </c>
    </row>
    <row r="27" spans="1:2" ht="15.75">
      <c r="A27" s="677" t="s">
        <v>1315</v>
      </c>
      <c r="B27" s="681">
        <f>B21+B22+B23+B24+B25+B26</f>
        <v>21315</v>
      </c>
    </row>
    <row r="28" spans="1:2" ht="15.75">
      <c r="A28" s="677" t="s">
        <v>1316</v>
      </c>
      <c r="B28" s="676"/>
    </row>
    <row r="29" spans="1:2" ht="15.75">
      <c r="A29" s="678" t="s">
        <v>1062</v>
      </c>
      <c r="B29" s="676">
        <v>8822</v>
      </c>
    </row>
    <row r="30" spans="1:2" ht="15.75">
      <c r="A30" s="678" t="s">
        <v>1063</v>
      </c>
      <c r="B30" s="676">
        <v>18470</v>
      </c>
    </row>
    <row r="31" spans="1:2" ht="15.75">
      <c r="A31" s="678" t="s">
        <v>1064</v>
      </c>
      <c r="B31" s="676">
        <v>27494</v>
      </c>
    </row>
    <row r="32" spans="1:2" ht="15.75">
      <c r="A32" s="678" t="s">
        <v>1065</v>
      </c>
      <c r="B32" s="676">
        <v>4444</v>
      </c>
    </row>
    <row r="33" spans="1:2" ht="15.75">
      <c r="A33" s="678" t="s">
        <v>1066</v>
      </c>
      <c r="B33" s="676">
        <v>698</v>
      </c>
    </row>
    <row r="34" spans="1:2" ht="15.75">
      <c r="A34" s="678" t="s">
        <v>1067</v>
      </c>
      <c r="B34" s="676">
        <v>60</v>
      </c>
    </row>
    <row r="35" spans="1:2" ht="15.75">
      <c r="A35" s="677" t="s">
        <v>1074</v>
      </c>
      <c r="B35" s="681">
        <f>SUM(B29:B34)</f>
        <v>59988</v>
      </c>
    </row>
    <row r="36" spans="1:2" ht="15.75">
      <c r="A36" s="677" t="s">
        <v>1317</v>
      </c>
      <c r="B36" s="681"/>
    </row>
    <row r="37" spans="1:2" ht="15.75">
      <c r="A37" s="678" t="s">
        <v>1062</v>
      </c>
      <c r="B37" s="680">
        <v>2503</v>
      </c>
    </row>
    <row r="38" spans="1:2" ht="15.75">
      <c r="A38" s="678" t="s">
        <v>1063</v>
      </c>
      <c r="B38" s="680">
        <v>27755</v>
      </c>
    </row>
    <row r="39" spans="1:2" ht="15.75">
      <c r="A39" s="678" t="s">
        <v>1064</v>
      </c>
      <c r="B39" s="680">
        <v>2864</v>
      </c>
    </row>
    <row r="40" spans="1:2" ht="15.75">
      <c r="A40" s="678" t="s">
        <v>1065</v>
      </c>
      <c r="B40" s="680">
        <v>281</v>
      </c>
    </row>
    <row r="41" spans="1:2" ht="15.75">
      <c r="A41" s="678" t="s">
        <v>1066</v>
      </c>
      <c r="B41" s="680">
        <v>9879</v>
      </c>
    </row>
    <row r="42" spans="1:2" ht="15.75">
      <c r="A42" s="678" t="s">
        <v>1067</v>
      </c>
      <c r="B42" s="680">
        <v>0</v>
      </c>
    </row>
    <row r="43" spans="1:2" ht="15.75">
      <c r="A43" s="678" t="s">
        <v>1314</v>
      </c>
      <c r="B43" s="680">
        <v>142</v>
      </c>
    </row>
    <row r="44" spans="1:2" ht="15.75">
      <c r="A44" s="938" t="s">
        <v>1073</v>
      </c>
      <c r="B44" s="681">
        <f>SUM(B37:B43)</f>
        <v>43424</v>
      </c>
    </row>
    <row r="45" spans="1:2" ht="15.75">
      <c r="A45" s="677" t="s">
        <v>1072</v>
      </c>
      <c r="B45" s="681">
        <f>SUM(B44,B35,B27,B18,B14)</f>
        <v>152665</v>
      </c>
    </row>
    <row r="46" spans="1:2" ht="15.75">
      <c r="A46" s="677" t="s">
        <v>1068</v>
      </c>
      <c r="B46" s="681">
        <v>330</v>
      </c>
    </row>
    <row r="47" spans="1:2" ht="15.75">
      <c r="A47" s="677" t="s">
        <v>1071</v>
      </c>
      <c r="B47" s="681">
        <v>4783</v>
      </c>
    </row>
    <row r="48" spans="1:2" ht="15.75">
      <c r="A48" s="677" t="s">
        <v>1069</v>
      </c>
      <c r="B48" s="681">
        <v>367</v>
      </c>
    </row>
    <row r="49" spans="1:2" ht="31.5">
      <c r="A49" s="682" t="s">
        <v>1070</v>
      </c>
      <c r="B49" s="681">
        <v>11669</v>
      </c>
    </row>
    <row r="50" spans="1:2" ht="16.5" thickBot="1">
      <c r="A50" s="684" t="s">
        <v>1081</v>
      </c>
      <c r="B50" s="939">
        <f>SUM(B45:B49)</f>
        <v>169814</v>
      </c>
    </row>
    <row r="53" ht="15.75">
      <c r="A53" s="596"/>
    </row>
    <row r="56" spans="1:2" ht="15.75">
      <c r="A56" s="1351"/>
      <c r="B56" s="1352"/>
    </row>
    <row r="57" spans="1:2" ht="15.75">
      <c r="A57" s="597"/>
      <c r="B57" s="598"/>
    </row>
  </sheetData>
  <sheetProtection selectLockedCells="1" selectUnlockedCells="1"/>
  <mergeCells count="4">
    <mergeCell ref="A2:B2"/>
    <mergeCell ref="A3:B3"/>
    <mergeCell ref="A4:B4"/>
    <mergeCell ref="A56:B56"/>
  </mergeCells>
  <printOptions horizontalCentered="1"/>
  <pageMargins left="0.7874015748031497" right="0.7874015748031497" top="0.5118110236220472" bottom="0.4330708661417323" header="0.5118110236220472" footer="0.5118110236220472"/>
  <pageSetup fitToHeight="1" fitToWidth="1" horizontalDpi="300" verticalDpi="300" orientation="portrait" paperSize="9" scale="85" r:id="rId1"/>
  <headerFooter alignWithMargins="0">
    <oddHeader>&amp;L20. melléklet a 16/2016.(V.26.)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K40" sqref="K40"/>
    </sheetView>
  </sheetViews>
  <sheetFormatPr defaultColWidth="9.00390625" defaultRowHeight="12.75"/>
  <cols>
    <col min="1" max="1" width="51.00390625" style="0" customWidth="1"/>
    <col min="2" max="2" width="13.625" style="0" customWidth="1"/>
    <col min="3" max="3" width="13.00390625" style="0" customWidth="1"/>
    <col min="4" max="4" width="11.375" style="0" customWidth="1"/>
    <col min="5" max="5" width="11.125" style="0" customWidth="1"/>
    <col min="8" max="8" width="11.375" style="0" customWidth="1"/>
    <col min="9" max="9" width="11.00390625" style="0" customWidth="1"/>
    <col min="10" max="10" width="10.75390625" style="0" customWidth="1"/>
  </cols>
  <sheetData>
    <row r="1" spans="1:9" ht="27.75" customHeight="1">
      <c r="A1" s="1354" t="s">
        <v>1215</v>
      </c>
      <c r="B1" s="1354"/>
      <c r="C1" s="1354"/>
      <c r="D1" s="1354"/>
      <c r="E1" s="1354"/>
      <c r="F1" s="1354"/>
      <c r="G1" s="1354"/>
      <c r="H1" s="1354"/>
      <c r="I1" s="1354"/>
    </row>
    <row r="2" spans="1:9" ht="12.75" customHeight="1" thickBot="1">
      <c r="A2" s="706"/>
      <c r="B2" s="706"/>
      <c r="C2" s="89"/>
      <c r="D2" s="89"/>
      <c r="E2" s="89"/>
      <c r="F2" s="89"/>
      <c r="G2" s="89"/>
      <c r="H2" s="55"/>
      <c r="I2" s="707"/>
    </row>
    <row r="3" spans="1:9" ht="27.75" customHeight="1">
      <c r="A3" s="1355" t="s">
        <v>621</v>
      </c>
      <c r="B3" s="1357" t="s">
        <v>687</v>
      </c>
      <c r="C3" s="1358"/>
      <c r="D3" s="1357" t="s">
        <v>12</v>
      </c>
      <c r="E3" s="1358"/>
      <c r="F3" s="1357" t="s">
        <v>1266</v>
      </c>
      <c r="G3" s="1358"/>
      <c r="H3" s="1359" t="s">
        <v>257</v>
      </c>
      <c r="I3" s="1360"/>
    </row>
    <row r="4" spans="1:9" ht="12.75" customHeight="1">
      <c r="A4" s="1356"/>
      <c r="B4" s="788" t="s">
        <v>1267</v>
      </c>
      <c r="C4" s="788" t="s">
        <v>1268</v>
      </c>
      <c r="D4" s="788" t="s">
        <v>1267</v>
      </c>
      <c r="E4" s="788" t="s">
        <v>1268</v>
      </c>
      <c r="F4" s="788" t="s">
        <v>1267</v>
      </c>
      <c r="G4" s="788" t="s">
        <v>1268</v>
      </c>
      <c r="H4" s="788" t="s">
        <v>1267</v>
      </c>
      <c r="I4" s="1124" t="s">
        <v>1268</v>
      </c>
    </row>
    <row r="5" spans="1:9" ht="12.75" customHeight="1">
      <c r="A5" s="789" t="s">
        <v>1216</v>
      </c>
      <c r="B5" s="790"/>
      <c r="C5" s="579"/>
      <c r="D5" s="579"/>
      <c r="E5" s="579"/>
      <c r="F5" s="579"/>
      <c r="G5" s="579"/>
      <c r="H5" s="791"/>
      <c r="I5" s="792"/>
    </row>
    <row r="6" spans="1:11" ht="12.75" customHeight="1">
      <c r="A6" s="793" t="s">
        <v>1217</v>
      </c>
      <c r="B6" s="575">
        <v>10954</v>
      </c>
      <c r="C6" s="575">
        <v>9870</v>
      </c>
      <c r="D6" s="575">
        <v>300</v>
      </c>
      <c r="E6" s="575">
        <v>240</v>
      </c>
      <c r="F6" s="575">
        <f>378+523</f>
        <v>901</v>
      </c>
      <c r="G6" s="575">
        <f>I6-C6-E6</f>
        <v>2286</v>
      </c>
      <c r="H6" s="791">
        <f>SUM(B6,D6,F6)</f>
        <v>12155</v>
      </c>
      <c r="I6" s="792">
        <v>12396</v>
      </c>
      <c r="J6" s="1132"/>
      <c r="K6" s="1132"/>
    </row>
    <row r="7" spans="1:11" ht="12.75" customHeight="1">
      <c r="A7" s="793" t="s">
        <v>1218</v>
      </c>
      <c r="B7" s="575">
        <v>17101425</v>
      </c>
      <c r="C7" s="575">
        <v>17856268</v>
      </c>
      <c r="D7" s="575">
        <v>8668</v>
      </c>
      <c r="E7" s="575">
        <v>6954</v>
      </c>
      <c r="F7" s="575">
        <f>11065+178366</f>
        <v>189431</v>
      </c>
      <c r="G7" s="575">
        <f>I7-C7-E7</f>
        <v>212818</v>
      </c>
      <c r="H7" s="791">
        <f aca="true" t="shared" si="0" ref="H7:H23">SUM(B7,D7,F7)</f>
        <v>17299524</v>
      </c>
      <c r="I7" s="792">
        <v>18076040</v>
      </c>
      <c r="J7" s="1132"/>
      <c r="K7" s="1132"/>
    </row>
    <row r="8" spans="1:11" ht="12.75" customHeight="1">
      <c r="A8" s="793" t="s">
        <v>1219</v>
      </c>
      <c r="B8" s="575">
        <v>175244</v>
      </c>
      <c r="C8" s="575">
        <v>293586</v>
      </c>
      <c r="D8" s="575">
        <v>0</v>
      </c>
      <c r="E8" s="575">
        <v>0</v>
      </c>
      <c r="F8" s="575">
        <v>0</v>
      </c>
      <c r="G8" s="575">
        <f>I8-C8-E8</f>
        <v>0</v>
      </c>
      <c r="H8" s="791">
        <f t="shared" si="0"/>
        <v>175244</v>
      </c>
      <c r="I8" s="792">
        <v>293586</v>
      </c>
      <c r="J8" s="1132"/>
      <c r="K8" s="1132"/>
    </row>
    <row r="9" spans="1:11" ht="12.75" customHeight="1">
      <c r="A9" s="793" t="s">
        <v>1220</v>
      </c>
      <c r="B9" s="575">
        <v>127938</v>
      </c>
      <c r="C9" s="575">
        <v>98888</v>
      </c>
      <c r="D9" s="575">
        <v>0</v>
      </c>
      <c r="E9" s="575">
        <v>0</v>
      </c>
      <c r="F9" s="575">
        <v>0</v>
      </c>
      <c r="G9" s="575">
        <f>I9-C9-E9</f>
        <v>0</v>
      </c>
      <c r="H9" s="791">
        <f t="shared" si="0"/>
        <v>127938</v>
      </c>
      <c r="I9" s="792">
        <v>98888</v>
      </c>
      <c r="J9" s="1132"/>
      <c r="K9" s="1132"/>
    </row>
    <row r="10" spans="1:11" ht="12.75" customHeight="1">
      <c r="A10" s="793" t="s">
        <v>1221</v>
      </c>
      <c r="B10" s="575">
        <f aca="true" t="shared" si="1" ref="B10:G10">SUM(B6:B9)</f>
        <v>17415561</v>
      </c>
      <c r="C10" s="575">
        <f t="shared" si="1"/>
        <v>18258612</v>
      </c>
      <c r="D10" s="575">
        <f t="shared" si="1"/>
        <v>8968</v>
      </c>
      <c r="E10" s="575">
        <f t="shared" si="1"/>
        <v>7194</v>
      </c>
      <c r="F10" s="575">
        <f t="shared" si="1"/>
        <v>190332</v>
      </c>
      <c r="G10" s="575">
        <f t="shared" si="1"/>
        <v>215104</v>
      </c>
      <c r="H10" s="791">
        <f t="shared" si="0"/>
        <v>17614861</v>
      </c>
      <c r="I10" s="526">
        <f>SUM(I6:I9)</f>
        <v>18480910</v>
      </c>
      <c r="J10" s="1132"/>
      <c r="K10" s="1132"/>
    </row>
    <row r="11" spans="1:11" ht="12.75" customHeight="1">
      <c r="A11" s="793" t="s">
        <v>1222</v>
      </c>
      <c r="B11" s="575">
        <v>0</v>
      </c>
      <c r="C11" s="575">
        <v>213688</v>
      </c>
      <c r="D11" s="575">
        <v>1591</v>
      </c>
      <c r="E11" s="575">
        <v>1823</v>
      </c>
      <c r="F11" s="575">
        <f>2069+10911</f>
        <v>12980</v>
      </c>
      <c r="G11" s="575">
        <f>I11-C11-E11</f>
        <v>13663</v>
      </c>
      <c r="H11" s="791">
        <f t="shared" si="0"/>
        <v>14571</v>
      </c>
      <c r="I11" s="792">
        <v>229174</v>
      </c>
      <c r="J11" s="1132"/>
      <c r="K11" s="1132"/>
    </row>
    <row r="12" spans="1:11" ht="12.75" customHeight="1">
      <c r="A12" s="793" t="s">
        <v>1223</v>
      </c>
      <c r="B12" s="575">
        <v>411</v>
      </c>
      <c r="C12" s="575">
        <v>52</v>
      </c>
      <c r="D12" s="575">
        <v>0</v>
      </c>
      <c r="E12" s="575">
        <v>0</v>
      </c>
      <c r="F12" s="575">
        <v>0</v>
      </c>
      <c r="G12" s="575">
        <f>I12-C12-E12</f>
        <v>0</v>
      </c>
      <c r="H12" s="791">
        <f t="shared" si="0"/>
        <v>411</v>
      </c>
      <c r="I12" s="792">
        <v>52</v>
      </c>
      <c r="J12" s="1132"/>
      <c r="K12" s="1132"/>
    </row>
    <row r="13" spans="1:11" ht="12.75" customHeight="1">
      <c r="A13" s="793" t="s">
        <v>1224</v>
      </c>
      <c r="B13" s="575">
        <f aca="true" t="shared" si="2" ref="B13:G13">SUM(B11:B12)</f>
        <v>411</v>
      </c>
      <c r="C13" s="575">
        <f t="shared" si="2"/>
        <v>213740</v>
      </c>
      <c r="D13" s="575">
        <f t="shared" si="2"/>
        <v>1591</v>
      </c>
      <c r="E13" s="575">
        <f t="shared" si="2"/>
        <v>1823</v>
      </c>
      <c r="F13" s="575">
        <f t="shared" si="2"/>
        <v>12980</v>
      </c>
      <c r="G13" s="575">
        <f t="shared" si="2"/>
        <v>13663</v>
      </c>
      <c r="H13" s="791">
        <f t="shared" si="0"/>
        <v>14982</v>
      </c>
      <c r="I13" s="526">
        <f>SUM(I11:I12)</f>
        <v>229226</v>
      </c>
      <c r="J13" s="1132"/>
      <c r="K13" s="1132"/>
    </row>
    <row r="14" spans="1:11" ht="12.75" customHeight="1" hidden="1">
      <c r="A14" s="793" t="s">
        <v>1225</v>
      </c>
      <c r="B14" s="575"/>
      <c r="C14" s="575">
        <v>386</v>
      </c>
      <c r="D14" s="575"/>
      <c r="E14" s="575">
        <v>393</v>
      </c>
      <c r="F14" s="575"/>
      <c r="G14" s="575">
        <f>I14-C14-E14</f>
        <v>0</v>
      </c>
      <c r="H14" s="791">
        <f t="shared" si="0"/>
        <v>0</v>
      </c>
      <c r="I14" s="792">
        <v>779</v>
      </c>
      <c r="J14" s="1132"/>
      <c r="K14" s="1132"/>
    </row>
    <row r="15" spans="1:11" ht="12.75" customHeight="1" hidden="1">
      <c r="A15" s="793" t="s">
        <v>1226</v>
      </c>
      <c r="B15" s="575"/>
      <c r="C15" s="575">
        <f>310151+15919</f>
        <v>326070</v>
      </c>
      <c r="D15" s="575"/>
      <c r="E15" s="575">
        <v>11887</v>
      </c>
      <c r="F15" s="575"/>
      <c r="G15" s="575">
        <f>I15-C15-E15</f>
        <v>12847</v>
      </c>
      <c r="H15" s="791">
        <f t="shared" si="0"/>
        <v>0</v>
      </c>
      <c r="I15" s="792">
        <v>350804</v>
      </c>
      <c r="J15" s="1132"/>
      <c r="K15" s="1132"/>
    </row>
    <row r="16" spans="1:11" ht="12.75" customHeight="1">
      <c r="A16" s="793" t="s">
        <v>1227</v>
      </c>
      <c r="B16" s="575">
        <v>160974</v>
      </c>
      <c r="C16" s="575">
        <f>SUM(C14:C15)</f>
        <v>326456</v>
      </c>
      <c r="D16" s="575">
        <v>6008</v>
      </c>
      <c r="E16" s="575">
        <f>SUM(E14:E15)</f>
        <v>12280</v>
      </c>
      <c r="F16" s="575">
        <f>5111+63256</f>
        <v>68367</v>
      </c>
      <c r="G16" s="575">
        <v>12846</v>
      </c>
      <c r="H16" s="791">
        <f t="shared" si="0"/>
        <v>235349</v>
      </c>
      <c r="I16" s="526">
        <v>351582</v>
      </c>
      <c r="J16" s="1132"/>
      <c r="K16" s="1132"/>
    </row>
    <row r="17" spans="1:11" ht="12.75" customHeight="1">
      <c r="A17" s="793" t="s">
        <v>1228</v>
      </c>
      <c r="B17" s="575">
        <v>354844</v>
      </c>
      <c r="C17" s="575">
        <v>305191</v>
      </c>
      <c r="D17" s="575">
        <v>9535</v>
      </c>
      <c r="E17" s="575">
        <v>1876</v>
      </c>
      <c r="F17" s="575">
        <v>681</v>
      </c>
      <c r="G17" s="575">
        <f>I17-C17-E17</f>
        <v>0</v>
      </c>
      <c r="H17" s="791">
        <f t="shared" si="0"/>
        <v>365060</v>
      </c>
      <c r="I17" s="792">
        <v>307067</v>
      </c>
      <c r="J17" s="1132"/>
      <c r="K17" s="1132"/>
    </row>
    <row r="18" spans="1:11" ht="12.75" customHeight="1">
      <c r="A18" s="793" t="s">
        <v>1229</v>
      </c>
      <c r="B18" s="575">
        <v>39772</v>
      </c>
      <c r="C18" s="575">
        <v>44688</v>
      </c>
      <c r="D18" s="575">
        <v>1804</v>
      </c>
      <c r="E18" s="575">
        <v>1761</v>
      </c>
      <c r="F18" s="575">
        <v>1323</v>
      </c>
      <c r="G18" s="575">
        <f>I18-C18-E18</f>
        <v>18561</v>
      </c>
      <c r="H18" s="791">
        <f t="shared" si="0"/>
        <v>42899</v>
      </c>
      <c r="I18" s="792">
        <v>65010</v>
      </c>
      <c r="J18" s="1132"/>
      <c r="K18" s="1132"/>
    </row>
    <row r="19" spans="1:11" ht="12.75" customHeight="1">
      <c r="A19" s="793" t="s">
        <v>1230</v>
      </c>
      <c r="B19" s="575">
        <v>9324</v>
      </c>
      <c r="C19" s="575">
        <v>9650</v>
      </c>
      <c r="D19" s="575">
        <v>1320</v>
      </c>
      <c r="E19" s="575">
        <v>1135</v>
      </c>
      <c r="F19" s="575">
        <v>880</v>
      </c>
      <c r="G19" s="575">
        <f>I19-C19-E19</f>
        <v>3691</v>
      </c>
      <c r="H19" s="791">
        <f t="shared" si="0"/>
        <v>11524</v>
      </c>
      <c r="I19" s="792">
        <v>14476</v>
      </c>
      <c r="J19" s="1132"/>
      <c r="K19" s="1132"/>
    </row>
    <row r="20" spans="1:11" ht="14.25" customHeight="1">
      <c r="A20" s="793" t="s">
        <v>1231</v>
      </c>
      <c r="B20" s="575">
        <f aca="true" t="shared" si="3" ref="B20:G20">SUM(B17:B19)</f>
        <v>403940</v>
      </c>
      <c r="C20" s="575">
        <f t="shared" si="3"/>
        <v>359529</v>
      </c>
      <c r="D20" s="575">
        <f t="shared" si="3"/>
        <v>12659</v>
      </c>
      <c r="E20" s="575">
        <f t="shared" si="3"/>
        <v>4772</v>
      </c>
      <c r="F20" s="575">
        <f t="shared" si="3"/>
        <v>2884</v>
      </c>
      <c r="G20" s="575">
        <f t="shared" si="3"/>
        <v>22252</v>
      </c>
      <c r="H20" s="791">
        <f t="shared" si="0"/>
        <v>419483</v>
      </c>
      <c r="I20" s="526">
        <f>SUM(I17:I19)</f>
        <v>386553</v>
      </c>
      <c r="J20" s="1132"/>
      <c r="K20" s="1132"/>
    </row>
    <row r="21" spans="1:11" ht="12.75" customHeight="1">
      <c r="A21" s="793" t="s">
        <v>1232</v>
      </c>
      <c r="B21" s="575">
        <v>1000</v>
      </c>
      <c r="C21" s="575">
        <v>7888</v>
      </c>
      <c r="D21" s="575">
        <v>0</v>
      </c>
      <c r="E21" s="575">
        <v>14854</v>
      </c>
      <c r="F21" s="575">
        <v>697</v>
      </c>
      <c r="G21" s="575">
        <f>I21-C21-E21</f>
        <v>29078</v>
      </c>
      <c r="H21" s="791">
        <f t="shared" si="0"/>
        <v>1697</v>
      </c>
      <c r="I21" s="792">
        <v>51820</v>
      </c>
      <c r="J21" s="1132"/>
      <c r="K21" s="1132"/>
    </row>
    <row r="22" spans="1:11" ht="15" customHeight="1">
      <c r="A22" s="793" t="s">
        <v>1233</v>
      </c>
      <c r="B22" s="575">
        <v>375</v>
      </c>
      <c r="C22" s="575">
        <v>23</v>
      </c>
      <c r="D22" s="575">
        <v>0</v>
      </c>
      <c r="E22" s="575">
        <v>332</v>
      </c>
      <c r="F22" s="575">
        <v>0</v>
      </c>
      <c r="G22" s="575">
        <f>I22-C22-E22</f>
        <v>4568</v>
      </c>
      <c r="H22" s="791">
        <f t="shared" si="0"/>
        <v>375</v>
      </c>
      <c r="I22" s="792">
        <v>4923</v>
      </c>
      <c r="J22" s="1132"/>
      <c r="K22" s="1132"/>
    </row>
    <row r="23" spans="1:11" ht="18.75" customHeight="1">
      <c r="A23" s="789" t="s">
        <v>1234</v>
      </c>
      <c r="B23" s="579">
        <f aca="true" t="shared" si="4" ref="B23:G23">SUM(B10,B13,B16,B20,B21,B22)</f>
        <v>17982261</v>
      </c>
      <c r="C23" s="579">
        <f t="shared" si="4"/>
        <v>19166248</v>
      </c>
      <c r="D23" s="579">
        <f t="shared" si="4"/>
        <v>29226</v>
      </c>
      <c r="E23" s="579">
        <f t="shared" si="4"/>
        <v>41255</v>
      </c>
      <c r="F23" s="579">
        <f t="shared" si="4"/>
        <v>275260</v>
      </c>
      <c r="G23" s="579">
        <f t="shared" si="4"/>
        <v>297511</v>
      </c>
      <c r="H23" s="791">
        <f t="shared" si="0"/>
        <v>18286747</v>
      </c>
      <c r="I23" s="792">
        <f>SUM(C23,E23,G23)</f>
        <v>19505014</v>
      </c>
      <c r="J23" s="1132"/>
      <c r="K23" s="1132"/>
    </row>
    <row r="24" spans="1:11" ht="12.75" customHeight="1">
      <c r="A24" s="793"/>
      <c r="B24" s="575"/>
      <c r="C24" s="575"/>
      <c r="D24" s="575"/>
      <c r="E24" s="575"/>
      <c r="F24" s="575"/>
      <c r="G24" s="575"/>
      <c r="H24" s="791"/>
      <c r="I24" s="792"/>
      <c r="J24" s="1132"/>
      <c r="K24" s="1132"/>
    </row>
    <row r="25" spans="1:11" ht="12.75" customHeight="1">
      <c r="A25" s="789" t="s">
        <v>1235</v>
      </c>
      <c r="B25" s="579"/>
      <c r="C25" s="579"/>
      <c r="D25" s="579"/>
      <c r="E25" s="579"/>
      <c r="F25" s="579"/>
      <c r="G25" s="579"/>
      <c r="H25" s="791"/>
      <c r="I25" s="792"/>
      <c r="J25" s="1132"/>
      <c r="K25" s="1132"/>
    </row>
    <row r="26" spans="1:11" ht="12.75" customHeight="1" hidden="1">
      <c r="A26" s="793" t="s">
        <v>1236</v>
      </c>
      <c r="B26" s="575"/>
      <c r="C26" s="575">
        <f>19845686+8831+410003</f>
        <v>20264520</v>
      </c>
      <c r="D26" s="575"/>
      <c r="E26" s="575">
        <f>6641-961+9412</f>
        <v>15092</v>
      </c>
      <c r="F26" s="575"/>
      <c r="G26" s="575">
        <f>I26-C26-E26</f>
        <v>512501</v>
      </c>
      <c r="H26" s="791"/>
      <c r="I26" s="792">
        <v>20792113</v>
      </c>
      <c r="J26" s="1132"/>
      <c r="K26" s="1132"/>
    </row>
    <row r="27" spans="1:11" ht="12.75" customHeight="1" hidden="1">
      <c r="A27" s="793" t="s">
        <v>1237</v>
      </c>
      <c r="B27" s="575"/>
      <c r="C27" s="575">
        <v>-3632972</v>
      </c>
      <c r="D27" s="575"/>
      <c r="E27" s="575">
        <v>-29327</v>
      </c>
      <c r="F27" s="575"/>
      <c r="G27" s="575">
        <f>I27-C27-E27</f>
        <v>-307387</v>
      </c>
      <c r="H27" s="791"/>
      <c r="I27" s="792">
        <v>-3969686</v>
      </c>
      <c r="J27" s="1132"/>
      <c r="K27" s="1132"/>
    </row>
    <row r="28" spans="1:11" ht="12.75" customHeight="1" hidden="1">
      <c r="A28" s="793" t="s">
        <v>1238</v>
      </c>
      <c r="B28" s="575"/>
      <c r="C28" s="575">
        <v>-266773</v>
      </c>
      <c r="D28" s="575"/>
      <c r="E28" s="575">
        <v>-10500</v>
      </c>
      <c r="F28" s="575"/>
      <c r="G28" s="575">
        <f>I28-C28-E28</f>
        <v>31041</v>
      </c>
      <c r="H28" s="791"/>
      <c r="I28" s="792">
        <v>-246232</v>
      </c>
      <c r="J28" s="1132"/>
      <c r="K28" s="1132"/>
    </row>
    <row r="29" spans="1:11" ht="12.75" customHeight="1">
      <c r="A29" s="793" t="s">
        <v>1269</v>
      </c>
      <c r="B29" s="575">
        <v>16496463</v>
      </c>
      <c r="C29" s="575">
        <v>16365975</v>
      </c>
      <c r="D29" s="575">
        <v>-5695</v>
      </c>
      <c r="E29" s="575">
        <f>SUM(E26:E28)</f>
        <v>-24735</v>
      </c>
      <c r="F29" s="575">
        <f>-44703+244557</f>
        <v>199854</v>
      </c>
      <c r="G29" s="575">
        <v>235773</v>
      </c>
      <c r="H29" s="791">
        <f>SUM(B29,D29,F29)</f>
        <v>16690622</v>
      </c>
      <c r="I29" s="526">
        <v>16577013</v>
      </c>
      <c r="J29" s="1132"/>
      <c r="K29" s="1132"/>
    </row>
    <row r="30" spans="1:11" ht="12.75" customHeight="1">
      <c r="A30" s="793" t="s">
        <v>1239</v>
      </c>
      <c r="B30" s="575">
        <v>0</v>
      </c>
      <c r="C30" s="575">
        <v>0</v>
      </c>
      <c r="D30" s="575">
        <v>0</v>
      </c>
      <c r="E30" s="575">
        <v>0</v>
      </c>
      <c r="F30" s="575">
        <v>0</v>
      </c>
      <c r="G30" s="575">
        <v>0</v>
      </c>
      <c r="H30" s="791">
        <f aca="true" t="shared" si="5" ref="H30:H35">SUM(B30,D30,F30)</f>
        <v>0</v>
      </c>
      <c r="I30" s="792">
        <v>0</v>
      </c>
      <c r="J30" s="1132"/>
      <c r="K30" s="1132"/>
    </row>
    <row r="31" spans="1:11" ht="12.75" customHeight="1">
      <c r="A31" s="793" t="s">
        <v>1240</v>
      </c>
      <c r="B31" s="575">
        <v>507591</v>
      </c>
      <c r="C31" s="575">
        <v>830253</v>
      </c>
      <c r="D31" s="575">
        <v>9317</v>
      </c>
      <c r="E31" s="575">
        <v>11281</v>
      </c>
      <c r="F31" s="575">
        <v>21166</v>
      </c>
      <c r="G31" s="575">
        <v>48914</v>
      </c>
      <c r="H31" s="791">
        <f t="shared" si="5"/>
        <v>538074</v>
      </c>
      <c r="I31" s="792">
        <v>890448</v>
      </c>
      <c r="J31" s="1132"/>
      <c r="K31" s="1132"/>
    </row>
    <row r="32" spans="1:11" ht="12.75" customHeight="1">
      <c r="A32" s="793" t="s">
        <v>1241</v>
      </c>
      <c r="B32" s="575">
        <v>159938</v>
      </c>
      <c r="C32" s="575">
        <v>163294</v>
      </c>
      <c r="D32" s="575">
        <v>4326</v>
      </c>
      <c r="E32" s="575">
        <v>148</v>
      </c>
      <c r="F32" s="575">
        <v>57</v>
      </c>
      <c r="G32" s="575">
        <f>I32-C32-E32</f>
        <v>0</v>
      </c>
      <c r="H32" s="791">
        <f t="shared" si="5"/>
        <v>164321</v>
      </c>
      <c r="I32" s="792">
        <v>163442</v>
      </c>
      <c r="J32" s="1132"/>
      <c r="K32" s="1132"/>
    </row>
    <row r="33" spans="1:11" ht="15" customHeight="1">
      <c r="A33" s="793" t="s">
        <v>1242</v>
      </c>
      <c r="B33" s="575">
        <f>SUM(B30:B32)</f>
        <v>667529</v>
      </c>
      <c r="C33" s="575">
        <f>SUM(C30:C32)</f>
        <v>993547</v>
      </c>
      <c r="D33" s="575">
        <f>SUM(D30:D32)</f>
        <v>13643</v>
      </c>
      <c r="E33" s="575">
        <f>SUM(E30:E32)</f>
        <v>11429</v>
      </c>
      <c r="F33" s="575">
        <f>SUM(F30:F32)</f>
        <v>21223</v>
      </c>
      <c r="G33" s="575">
        <v>48914</v>
      </c>
      <c r="H33" s="791">
        <f t="shared" si="5"/>
        <v>702395</v>
      </c>
      <c r="I33" s="526">
        <f>SUM(I30:I32)</f>
        <v>1053890</v>
      </c>
      <c r="J33" s="1132"/>
      <c r="K33" s="1132"/>
    </row>
    <row r="34" spans="1:11" ht="12.75">
      <c r="A34" s="793" t="s">
        <v>1243</v>
      </c>
      <c r="B34" s="575">
        <v>0</v>
      </c>
      <c r="C34" s="575">
        <v>0</v>
      </c>
      <c r="D34" s="575">
        <v>0</v>
      </c>
      <c r="E34" s="575">
        <v>0</v>
      </c>
      <c r="F34" s="575">
        <v>0</v>
      </c>
      <c r="G34" s="575">
        <f>I34-C34-E34</f>
        <v>0</v>
      </c>
      <c r="H34" s="791">
        <f t="shared" si="5"/>
        <v>0</v>
      </c>
      <c r="I34" s="792">
        <v>0</v>
      </c>
      <c r="J34" s="1132"/>
      <c r="K34" s="1132"/>
    </row>
    <row r="35" spans="1:11" ht="12.75">
      <c r="A35" s="793" t="s">
        <v>1244</v>
      </c>
      <c r="B35" s="575">
        <v>818269</v>
      </c>
      <c r="C35" s="575">
        <v>1806726</v>
      </c>
      <c r="D35" s="575">
        <v>21278</v>
      </c>
      <c r="E35" s="575">
        <v>54561</v>
      </c>
      <c r="F35" s="575">
        <f>44929+9254</f>
        <v>54183</v>
      </c>
      <c r="G35" s="575">
        <f>I35-C35-E35</f>
        <v>12824</v>
      </c>
      <c r="H35" s="791">
        <f t="shared" si="5"/>
        <v>893730</v>
      </c>
      <c r="I35" s="792">
        <v>1874111</v>
      </c>
      <c r="J35" s="1132"/>
      <c r="K35" s="1132"/>
    </row>
    <row r="36" spans="1:11" ht="13.5" thickBot="1">
      <c r="A36" s="794" t="s">
        <v>1245</v>
      </c>
      <c r="B36" s="580">
        <f aca="true" t="shared" si="6" ref="B36:G36">SUM(B29,B33,B34,B35)</f>
        <v>17982261</v>
      </c>
      <c r="C36" s="580">
        <f t="shared" si="6"/>
        <v>19166248</v>
      </c>
      <c r="D36" s="580">
        <f t="shared" si="6"/>
        <v>29226</v>
      </c>
      <c r="E36" s="580">
        <f t="shared" si="6"/>
        <v>41255</v>
      </c>
      <c r="F36" s="580">
        <f t="shared" si="6"/>
        <v>275260</v>
      </c>
      <c r="G36" s="580">
        <f t="shared" si="6"/>
        <v>297511</v>
      </c>
      <c r="H36" s="580">
        <f>SUM(B36,D36,F36)</f>
        <v>18286747</v>
      </c>
      <c r="I36" s="528">
        <f>SUM(I29,I33,I34,I35)</f>
        <v>19505014</v>
      </c>
      <c r="J36" s="1132"/>
      <c r="K36" s="1132"/>
    </row>
    <row r="37" spans="1:9" ht="12.75">
      <c r="A37" s="706"/>
      <c r="B37" s="706"/>
      <c r="C37" s="524"/>
      <c r="D37" s="524"/>
      <c r="E37" s="524"/>
      <c r="F37" s="524"/>
      <c r="G37" s="524"/>
      <c r="H37" s="708"/>
      <c r="I37" s="709"/>
    </row>
    <row r="38" spans="1:9" ht="12.75" customHeight="1">
      <c r="A38" s="1353" t="s">
        <v>1270</v>
      </c>
      <c r="B38" s="1353"/>
      <c r="C38" s="1353"/>
      <c r="D38" s="1353"/>
      <c r="E38" s="1353"/>
      <c r="F38" s="1353"/>
      <c r="G38" s="1353"/>
      <c r="H38" s="1353"/>
      <c r="I38" s="1353"/>
    </row>
    <row r="39" spans="1:9" ht="12.75">
      <c r="A39" s="706"/>
      <c r="B39" s="706"/>
      <c r="C39" s="524"/>
      <c r="D39" s="524"/>
      <c r="E39" s="524"/>
      <c r="F39" s="524"/>
      <c r="G39" s="524"/>
      <c r="H39" s="708"/>
      <c r="I39" s="709"/>
    </row>
  </sheetData>
  <sheetProtection/>
  <mergeCells count="7">
    <mergeCell ref="A38:I38"/>
    <mergeCell ref="A1:I1"/>
    <mergeCell ref="A3:A4"/>
    <mergeCell ref="B3:C3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  <headerFooter>
    <oddHeader>&amp;L21. melléklet a 16/2016.(V.26.)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view="pageBreakPreview" zoomScale="73" zoomScaleNormal="90" zoomScaleSheetLayoutView="73" zoomScalePageLayoutView="0" workbookViewId="0" topLeftCell="A15">
      <selection activeCell="G37" sqref="G37:G38"/>
    </sheetView>
  </sheetViews>
  <sheetFormatPr defaultColWidth="11.625" defaultRowHeight="15.75" customHeight="1"/>
  <cols>
    <col min="1" max="1" width="40.875" style="999" customWidth="1"/>
    <col min="2" max="2" width="21.75390625" style="999" customWidth="1"/>
    <col min="3" max="3" width="22.375" style="999" customWidth="1"/>
    <col min="4" max="4" width="19.00390625" style="999" customWidth="1"/>
    <col min="5" max="5" width="19.875" style="999" customWidth="1"/>
    <col min="6" max="6" width="22.125" style="999" customWidth="1"/>
    <col min="7" max="7" width="24.00390625" style="999" customWidth="1"/>
    <col min="8" max="255" width="11.625" style="999" customWidth="1"/>
    <col min="256" max="16384" width="11.625" style="1017" customWidth="1"/>
  </cols>
  <sheetData>
    <row r="1" spans="1:7" ht="15.75" customHeight="1">
      <c r="A1" s="1361" t="s">
        <v>1378</v>
      </c>
      <c r="B1" s="1361"/>
      <c r="C1" s="1361"/>
      <c r="D1" s="1361"/>
      <c r="E1" s="1361"/>
      <c r="F1" s="1361"/>
      <c r="G1" s="1361"/>
    </row>
    <row r="2" spans="1:7" ht="15.75" customHeight="1">
      <c r="A2" s="1361"/>
      <c r="B2" s="1361"/>
      <c r="C2" s="1361"/>
      <c r="D2" s="1361"/>
      <c r="E2" s="1361"/>
      <c r="F2" s="1361"/>
      <c r="G2" s="1361"/>
    </row>
    <row r="3" spans="1:7" ht="15.75" customHeight="1">
      <c r="A3" s="1362" t="s">
        <v>1379</v>
      </c>
      <c r="B3" s="1362"/>
      <c r="C3" s="1362"/>
      <c r="D3" s="1362"/>
      <c r="E3" s="1362"/>
      <c r="F3" s="1362"/>
      <c r="G3" s="1362"/>
    </row>
    <row r="4" spans="1:6" ht="15.75" customHeight="1" thickBot="1">
      <c r="A4" s="1000"/>
      <c r="B4" s="1001"/>
      <c r="C4" s="1001"/>
      <c r="D4" s="1001"/>
      <c r="E4" s="1001"/>
      <c r="F4" s="1001"/>
    </row>
    <row r="5" spans="1:6" ht="64.5" customHeight="1" thickTop="1">
      <c r="A5" s="1002" t="s">
        <v>1380</v>
      </c>
      <c r="B5" s="1003" t="s">
        <v>1381</v>
      </c>
      <c r="C5" s="1003" t="s">
        <v>1382</v>
      </c>
      <c r="D5" s="1003" t="s">
        <v>1383</v>
      </c>
      <c r="E5" s="1003" t="s">
        <v>1384</v>
      </c>
      <c r="F5" s="1004" t="s">
        <v>1385</v>
      </c>
    </row>
    <row r="6" spans="1:6" ht="15.75" customHeight="1">
      <c r="A6" s="1005" t="s">
        <v>1386</v>
      </c>
      <c r="B6" s="1006">
        <v>522</v>
      </c>
      <c r="C6" s="1006">
        <v>522</v>
      </c>
      <c r="D6" s="1006">
        <v>52</v>
      </c>
      <c r="E6" s="1006">
        <v>261</v>
      </c>
      <c r="F6" s="1007">
        <v>0.041</v>
      </c>
    </row>
    <row r="7" spans="1:6" ht="31.5" customHeight="1">
      <c r="A7" s="1008" t="s">
        <v>1387</v>
      </c>
      <c r="B7" s="1006">
        <v>357</v>
      </c>
      <c r="C7" s="1006">
        <v>357</v>
      </c>
      <c r="D7" s="1006">
        <v>162</v>
      </c>
      <c r="E7" s="1006">
        <v>324</v>
      </c>
      <c r="F7" s="1007">
        <v>1.785</v>
      </c>
    </row>
    <row r="8" spans="1:6" ht="15.75" customHeight="1">
      <c r="A8" s="1009" t="s">
        <v>1388</v>
      </c>
      <c r="B8" s="1010">
        <v>116000</v>
      </c>
      <c r="C8" s="1010">
        <v>116000</v>
      </c>
      <c r="D8" s="1010">
        <v>105500</v>
      </c>
      <c r="E8" s="1010">
        <v>105500</v>
      </c>
      <c r="F8" s="1011">
        <v>100</v>
      </c>
    </row>
    <row r="9" spans="1:6" ht="16.5" customHeight="1">
      <c r="A9" s="1005" t="s">
        <v>1389</v>
      </c>
      <c r="B9" s="1006">
        <v>5000</v>
      </c>
      <c r="C9" s="1006">
        <v>5000</v>
      </c>
      <c r="D9" s="1006">
        <v>5000</v>
      </c>
      <c r="E9" s="1006">
        <v>5000</v>
      </c>
      <c r="F9" s="1007">
        <v>100</v>
      </c>
    </row>
    <row r="10" spans="1:6" ht="15.75" customHeight="1">
      <c r="A10" s="1005" t="s">
        <v>1390</v>
      </c>
      <c r="B10" s="1006">
        <v>134824</v>
      </c>
      <c r="C10" s="1006">
        <v>16310</v>
      </c>
      <c r="D10" s="1006">
        <v>134824</v>
      </c>
      <c r="E10" s="1006">
        <v>16310</v>
      </c>
      <c r="F10" s="1007">
        <v>100</v>
      </c>
    </row>
    <row r="11" spans="1:6" ht="15.75" customHeight="1">
      <c r="A11" s="1009" t="s">
        <v>1391</v>
      </c>
      <c r="B11" s="1010">
        <v>48100</v>
      </c>
      <c r="C11" s="1010">
        <v>48100</v>
      </c>
      <c r="D11" s="1010">
        <v>48100</v>
      </c>
      <c r="E11" s="1010">
        <v>48100</v>
      </c>
      <c r="F11" s="1011">
        <v>100</v>
      </c>
    </row>
    <row r="12" spans="1:6" ht="15.75" customHeight="1" thickBot="1">
      <c r="A12" s="1012" t="s">
        <v>149</v>
      </c>
      <c r="B12" s="1013">
        <f>SUM(B6:B11)</f>
        <v>304803</v>
      </c>
      <c r="C12" s="1013">
        <f>SUM(C6:C11)</f>
        <v>186289</v>
      </c>
      <c r="D12" s="1013">
        <f>SUM(D6:D11)</f>
        <v>293638</v>
      </c>
      <c r="E12" s="1013">
        <f>SUM(E6:E11)</f>
        <v>175495</v>
      </c>
      <c r="F12" s="1014"/>
    </row>
    <row r="13" spans="1:6" ht="15.75" customHeight="1" thickTop="1">
      <c r="A13" s="1015"/>
      <c r="B13" s="1016"/>
      <c r="C13" s="1016"/>
      <c r="D13" s="1016"/>
      <c r="E13" s="1016"/>
      <c r="F13" s="1015"/>
    </row>
    <row r="14" spans="1:7" ht="15.75" customHeight="1">
      <c r="A14" s="1363" t="s">
        <v>1392</v>
      </c>
      <c r="B14" s="1363"/>
      <c r="C14" s="1363"/>
      <c r="D14" s="1363"/>
      <c r="E14" s="1363"/>
      <c r="F14" s="1363"/>
      <c r="G14" s="1363"/>
    </row>
    <row r="15" spans="1:7" ht="15.75" customHeight="1">
      <c r="A15" s="1363" t="s">
        <v>1393</v>
      </c>
      <c r="B15" s="1363"/>
      <c r="C15" s="1363"/>
      <c r="D15" s="1363"/>
      <c r="E15" s="1363"/>
      <c r="F15" s="1363"/>
      <c r="G15" s="1363"/>
    </row>
    <row r="17" spans="1:7" ht="15.75" customHeight="1" thickBot="1">
      <c r="A17" s="1364" t="s">
        <v>1380</v>
      </c>
      <c r="B17" s="1365" t="s">
        <v>1394</v>
      </c>
      <c r="C17" s="1365" t="s">
        <v>1387</v>
      </c>
      <c r="D17" s="1365" t="s">
        <v>1388</v>
      </c>
      <c r="E17" s="1365" t="s">
        <v>1389</v>
      </c>
      <c r="F17" s="1365" t="s">
        <v>1390</v>
      </c>
      <c r="G17" s="1365" t="s">
        <v>1395</v>
      </c>
    </row>
    <row r="18" spans="1:7" ht="55.5" customHeight="1">
      <c r="A18" s="1364"/>
      <c r="B18" s="1365"/>
      <c r="C18" s="1365"/>
      <c r="D18" s="1365"/>
      <c r="E18" s="1365"/>
      <c r="F18" s="1365"/>
      <c r="G18" s="1365"/>
    </row>
    <row r="19" spans="1:7" ht="15.75" customHeight="1">
      <c r="A19" s="1366" t="s">
        <v>1396</v>
      </c>
      <c r="B19" s="1367">
        <v>0</v>
      </c>
      <c r="C19" s="1367">
        <v>2462</v>
      </c>
      <c r="D19" s="1367">
        <v>0</v>
      </c>
      <c r="E19" s="1367">
        <v>0</v>
      </c>
      <c r="F19" s="1367">
        <v>0</v>
      </c>
      <c r="G19" s="1367">
        <v>0</v>
      </c>
    </row>
    <row r="20" spans="1:7" ht="15.75" customHeight="1">
      <c r="A20" s="1366"/>
      <c r="B20" s="1367"/>
      <c r="C20" s="1367"/>
      <c r="D20" s="1367"/>
      <c r="E20" s="1367"/>
      <c r="F20" s="1367"/>
      <c r="G20" s="1367"/>
    </row>
    <row r="21" spans="1:7" ht="59.25" customHeight="1">
      <c r="A21" s="1018" t="s">
        <v>1397</v>
      </c>
      <c r="B21" s="1019">
        <v>0</v>
      </c>
      <c r="C21" s="1019">
        <v>0</v>
      </c>
      <c r="D21" s="1019">
        <v>0</v>
      </c>
      <c r="E21" s="1019">
        <v>0</v>
      </c>
      <c r="F21" s="1019">
        <v>0</v>
      </c>
      <c r="G21" s="1019">
        <v>0</v>
      </c>
    </row>
    <row r="22" spans="1:7" ht="15.75" customHeight="1">
      <c r="A22" s="1366" t="s">
        <v>1398</v>
      </c>
      <c r="B22" s="1367">
        <v>0</v>
      </c>
      <c r="C22" s="1367">
        <v>0</v>
      </c>
      <c r="D22" s="1367">
        <v>0</v>
      </c>
      <c r="E22" s="1367">
        <v>0</v>
      </c>
      <c r="F22" s="1367">
        <v>0</v>
      </c>
      <c r="G22" s="1367">
        <v>0</v>
      </c>
    </row>
    <row r="23" spans="1:7" ht="47.25" customHeight="1">
      <c r="A23" s="1366"/>
      <c r="B23" s="1367"/>
      <c r="C23" s="1367"/>
      <c r="D23" s="1367"/>
      <c r="E23" s="1367"/>
      <c r="F23" s="1367"/>
      <c r="G23" s="1367"/>
    </row>
    <row r="24" spans="1:7" ht="15.75" customHeight="1">
      <c r="A24" s="1366" t="s">
        <v>1399</v>
      </c>
      <c r="B24" s="1367">
        <v>5968217</v>
      </c>
      <c r="C24" s="1367">
        <v>194593</v>
      </c>
      <c r="D24" s="1367">
        <v>86135</v>
      </c>
      <c r="E24" s="1367">
        <v>4102</v>
      </c>
      <c r="F24" s="1367">
        <v>21456</v>
      </c>
      <c r="G24" s="1367">
        <v>11478</v>
      </c>
    </row>
    <row r="25" spans="1:7" ht="15.75" customHeight="1">
      <c r="A25" s="1366"/>
      <c r="B25" s="1367"/>
      <c r="C25" s="1367"/>
      <c r="D25" s="1367"/>
      <c r="E25" s="1367"/>
      <c r="F25" s="1367"/>
      <c r="G25" s="1367"/>
    </row>
    <row r="26" spans="1:7" ht="15.75" customHeight="1">
      <c r="A26" s="1366" t="s">
        <v>1400</v>
      </c>
      <c r="B26" s="1367">
        <v>0</v>
      </c>
      <c r="C26" s="1367">
        <v>30</v>
      </c>
      <c r="D26" s="1367">
        <v>963</v>
      </c>
      <c r="E26" s="1367">
        <v>4102</v>
      </c>
      <c r="F26" s="1367">
        <v>15191</v>
      </c>
      <c r="G26" s="1367">
        <v>1152</v>
      </c>
    </row>
    <row r="27" spans="1:7" ht="31.5" customHeight="1">
      <c r="A27" s="1366"/>
      <c r="B27" s="1367"/>
      <c r="C27" s="1367"/>
      <c r="D27" s="1367"/>
      <c r="E27" s="1367"/>
      <c r="F27" s="1367"/>
      <c r="G27" s="1367"/>
    </row>
    <row r="28" spans="1:7" ht="15.75" customHeight="1">
      <c r="A28" s="1366" t="s">
        <v>1401</v>
      </c>
      <c r="B28" s="1367">
        <v>0</v>
      </c>
      <c r="C28" s="1367">
        <v>0</v>
      </c>
      <c r="D28" s="1367">
        <v>0</v>
      </c>
      <c r="E28" s="1367">
        <v>3175</v>
      </c>
      <c r="F28" s="1367">
        <v>0</v>
      </c>
      <c r="G28" s="1367">
        <v>0</v>
      </c>
    </row>
    <row r="29" spans="1:7" ht="42.75" customHeight="1">
      <c r="A29" s="1366"/>
      <c r="B29" s="1367"/>
      <c r="C29" s="1367"/>
      <c r="D29" s="1367"/>
      <c r="E29" s="1367"/>
      <c r="F29" s="1367"/>
      <c r="G29" s="1367"/>
    </row>
    <row r="30" spans="1:256" s="1020" customFormat="1" ht="15.75" customHeight="1" thickBot="1">
      <c r="A30" s="1369" t="s">
        <v>1402</v>
      </c>
      <c r="B30" s="1370">
        <v>74</v>
      </c>
      <c r="C30" s="1370">
        <v>0</v>
      </c>
      <c r="D30" s="1370" t="s">
        <v>1403</v>
      </c>
      <c r="E30" s="1370">
        <v>0</v>
      </c>
      <c r="F30" s="1370">
        <v>0</v>
      </c>
      <c r="G30" s="1370">
        <v>0</v>
      </c>
      <c r="IV30" s="1021"/>
    </row>
    <row r="31" spans="1:256" s="1020" customFormat="1" ht="54.75" customHeight="1" thickBot="1">
      <c r="A31" s="1369"/>
      <c r="B31" s="1370"/>
      <c r="C31" s="1370"/>
      <c r="D31" s="1370"/>
      <c r="E31" s="1370"/>
      <c r="F31" s="1370"/>
      <c r="G31" s="1370"/>
      <c r="IV31" s="1021"/>
    </row>
    <row r="32" spans="1:7" ht="15.75" customHeight="1">
      <c r="A32" s="1374" t="s">
        <v>1404</v>
      </c>
      <c r="B32" s="1374"/>
      <c r="C32" s="1374"/>
      <c r="D32" s="1374"/>
      <c r="E32" s="1374"/>
      <c r="F32" s="1374"/>
      <c r="G32" s="1374"/>
    </row>
    <row r="34" spans="1:7" ht="17.25" customHeight="1">
      <c r="A34" s="1363" t="s">
        <v>1405</v>
      </c>
      <c r="B34" s="1363"/>
      <c r="C34" s="1363"/>
      <c r="D34" s="1363"/>
      <c r="E34" s="1363"/>
      <c r="F34" s="1363"/>
      <c r="G34" s="1363"/>
    </row>
    <row r="35" spans="1:7" ht="15.75" customHeight="1">
      <c r="A35" s="1363" t="s">
        <v>1406</v>
      </c>
      <c r="B35" s="1363"/>
      <c r="C35" s="1363"/>
      <c r="D35" s="1363"/>
      <c r="E35" s="1363"/>
      <c r="F35" s="1363"/>
      <c r="G35" s="1363"/>
    </row>
    <row r="36" spans="1:6" ht="15.75" customHeight="1" thickBot="1">
      <c r="A36" s="1022"/>
      <c r="B36" s="1022"/>
      <c r="C36" s="1022"/>
      <c r="D36" s="1022"/>
      <c r="E36" s="1022"/>
      <c r="F36" s="1022"/>
    </row>
    <row r="37" spans="1:7" ht="15.75" customHeight="1" thickBot="1">
      <c r="A37" s="1364" t="s">
        <v>1380</v>
      </c>
      <c r="B37" s="1365" t="s">
        <v>1407</v>
      </c>
      <c r="C37" s="1365"/>
      <c r="D37" s="1365"/>
      <c r="E37" s="1375" t="s">
        <v>1419</v>
      </c>
      <c r="F37" s="1365" t="s">
        <v>1420</v>
      </c>
      <c r="G37" s="1368" t="s">
        <v>1421</v>
      </c>
    </row>
    <row r="38" spans="1:7" ht="35.25" customHeight="1">
      <c r="A38" s="1364"/>
      <c r="B38" s="1023" t="s">
        <v>1408</v>
      </c>
      <c r="C38" s="1023" t="s">
        <v>1409</v>
      </c>
      <c r="D38" s="1024" t="s">
        <v>1116</v>
      </c>
      <c r="E38" s="1375"/>
      <c r="F38" s="1365"/>
      <c r="G38" s="1368"/>
    </row>
    <row r="39" spans="1:7" ht="15.75" customHeight="1">
      <c r="A39" s="1025" t="s">
        <v>1388</v>
      </c>
      <c r="B39" s="1026">
        <v>2009</v>
      </c>
      <c r="C39" s="1027">
        <v>5000</v>
      </c>
      <c r="D39" s="1028">
        <v>2016</v>
      </c>
      <c r="E39" s="1029">
        <v>2940</v>
      </c>
      <c r="F39" s="1030">
        <v>1427</v>
      </c>
      <c r="G39" s="1031">
        <f aca="true" t="shared" si="0" ref="G39:G51">E39+F39</f>
        <v>4367</v>
      </c>
    </row>
    <row r="40" spans="1:7" ht="15.75" customHeight="1">
      <c r="A40" s="1032" t="s">
        <v>1388</v>
      </c>
      <c r="B40" s="1026">
        <v>2010</v>
      </c>
      <c r="C40" s="1027">
        <v>8000</v>
      </c>
      <c r="D40" s="1028">
        <v>2016</v>
      </c>
      <c r="E40" s="1029">
        <v>8000</v>
      </c>
      <c r="F40" s="1030">
        <v>2173</v>
      </c>
      <c r="G40" s="1031">
        <f t="shared" si="0"/>
        <v>10173</v>
      </c>
    </row>
    <row r="41" spans="1:7" ht="15.75" customHeight="1">
      <c r="A41" s="1032" t="s">
        <v>1388</v>
      </c>
      <c r="B41" s="1026">
        <v>2010</v>
      </c>
      <c r="C41" s="1027">
        <v>15000</v>
      </c>
      <c r="D41" s="1028" t="s">
        <v>1410</v>
      </c>
      <c r="E41" s="1029">
        <v>0</v>
      </c>
      <c r="F41" s="1030">
        <v>3697</v>
      </c>
      <c r="G41" s="1031">
        <f t="shared" si="0"/>
        <v>3697</v>
      </c>
    </row>
    <row r="42" spans="1:7" ht="15.75" customHeight="1">
      <c r="A42" s="1032" t="s">
        <v>1388</v>
      </c>
      <c r="B42" s="1026">
        <v>2011</v>
      </c>
      <c r="C42" s="1027">
        <v>9700</v>
      </c>
      <c r="D42" s="1028">
        <v>2016</v>
      </c>
      <c r="E42" s="1029">
        <v>9700</v>
      </c>
      <c r="F42" s="1030">
        <v>2032</v>
      </c>
      <c r="G42" s="1031">
        <f t="shared" si="0"/>
        <v>11732</v>
      </c>
    </row>
    <row r="43" spans="1:7" ht="15.75" customHeight="1">
      <c r="A43" s="1032" t="s">
        <v>1388</v>
      </c>
      <c r="B43" s="1026">
        <v>2011</v>
      </c>
      <c r="C43" s="1027">
        <v>34871</v>
      </c>
      <c r="D43" s="1028" t="s">
        <v>1411</v>
      </c>
      <c r="E43" s="1029">
        <v>34871</v>
      </c>
      <c r="F43" s="1033">
        <v>0</v>
      </c>
      <c r="G43" s="1031">
        <f t="shared" si="0"/>
        <v>34871</v>
      </c>
    </row>
    <row r="44" spans="1:7" ht="15.75" customHeight="1">
      <c r="A44" s="1032" t="s">
        <v>1388</v>
      </c>
      <c r="B44" s="1026">
        <v>2011</v>
      </c>
      <c r="C44" s="1027">
        <v>5000</v>
      </c>
      <c r="D44" s="1028">
        <v>2016</v>
      </c>
      <c r="E44" s="1029">
        <v>5000</v>
      </c>
      <c r="F44" s="1030">
        <v>891</v>
      </c>
      <c r="G44" s="1031">
        <f t="shared" si="0"/>
        <v>5891</v>
      </c>
    </row>
    <row r="45" spans="1:7" ht="15.75" customHeight="1">
      <c r="A45" s="1032" t="s">
        <v>1388</v>
      </c>
      <c r="B45" s="1026">
        <v>2012</v>
      </c>
      <c r="C45" s="1027">
        <v>7400</v>
      </c>
      <c r="D45" s="1028">
        <v>2016</v>
      </c>
      <c r="E45" s="1029">
        <v>7400</v>
      </c>
      <c r="F45" s="1030">
        <v>1091</v>
      </c>
      <c r="G45" s="1031">
        <f t="shared" si="0"/>
        <v>8491</v>
      </c>
    </row>
    <row r="46" spans="1:7" ht="15.75" customHeight="1">
      <c r="A46" s="1032" t="s">
        <v>1388</v>
      </c>
      <c r="B46" s="1026">
        <v>2012</v>
      </c>
      <c r="C46" s="1027">
        <v>7841</v>
      </c>
      <c r="D46" s="1028">
        <v>2016</v>
      </c>
      <c r="E46" s="1029">
        <v>7841</v>
      </c>
      <c r="F46" s="1030">
        <v>1091</v>
      </c>
      <c r="G46" s="1031">
        <f t="shared" si="0"/>
        <v>8932</v>
      </c>
    </row>
    <row r="47" spans="1:7" ht="15.75" customHeight="1">
      <c r="A47" s="1032" t="s">
        <v>1388</v>
      </c>
      <c r="B47" s="1026">
        <v>2012</v>
      </c>
      <c r="C47" s="1027">
        <v>2500</v>
      </c>
      <c r="D47" s="1028">
        <v>2016</v>
      </c>
      <c r="E47" s="1029">
        <v>2500</v>
      </c>
      <c r="F47" s="1030">
        <v>245</v>
      </c>
      <c r="G47" s="1031">
        <f t="shared" si="0"/>
        <v>2745</v>
      </c>
    </row>
    <row r="48" spans="1:7" ht="15.75" customHeight="1">
      <c r="A48" s="1032" t="s">
        <v>1388</v>
      </c>
      <c r="B48" s="1026">
        <v>2013</v>
      </c>
      <c r="C48" s="1027">
        <v>2800</v>
      </c>
      <c r="D48" s="1028">
        <v>2016</v>
      </c>
      <c r="E48" s="1029">
        <v>2800</v>
      </c>
      <c r="F48" s="1030">
        <v>255</v>
      </c>
      <c r="G48" s="1031">
        <f t="shared" si="0"/>
        <v>3055</v>
      </c>
    </row>
    <row r="49" spans="1:7" ht="15.75" customHeight="1">
      <c r="A49" s="1032" t="s">
        <v>1388</v>
      </c>
      <c r="B49" s="1026">
        <v>2013</v>
      </c>
      <c r="C49" s="1027">
        <v>7308</v>
      </c>
      <c r="D49" s="1028">
        <v>2016</v>
      </c>
      <c r="E49" s="1029">
        <v>7308</v>
      </c>
      <c r="F49" s="1034">
        <v>604</v>
      </c>
      <c r="G49" s="1031">
        <f t="shared" si="0"/>
        <v>7912</v>
      </c>
    </row>
    <row r="50" spans="1:7" ht="15.75" customHeight="1">
      <c r="A50" s="1032" t="s">
        <v>1388</v>
      </c>
      <c r="B50" s="1026">
        <v>2014</v>
      </c>
      <c r="C50" s="1027">
        <v>4000</v>
      </c>
      <c r="D50" s="1028">
        <v>2016</v>
      </c>
      <c r="E50" s="1035">
        <v>4000</v>
      </c>
      <c r="F50" s="1036">
        <v>195</v>
      </c>
      <c r="G50" s="1031">
        <f t="shared" si="0"/>
        <v>4195</v>
      </c>
    </row>
    <row r="51" spans="1:7" ht="15.75" customHeight="1">
      <c r="A51" s="1032" t="s">
        <v>1388</v>
      </c>
      <c r="B51" s="1026">
        <v>2015</v>
      </c>
      <c r="C51" s="1027">
        <v>6500</v>
      </c>
      <c r="D51" s="1028">
        <v>2016</v>
      </c>
      <c r="E51" s="1035">
        <v>6500</v>
      </c>
      <c r="F51" s="1036">
        <v>156</v>
      </c>
      <c r="G51" s="1031">
        <f t="shared" si="0"/>
        <v>6656</v>
      </c>
    </row>
    <row r="52" spans="1:7" ht="15.75" customHeight="1" thickBot="1">
      <c r="A52" s="1037" t="s">
        <v>1412</v>
      </c>
      <c r="B52" s="1371"/>
      <c r="C52" s="1371"/>
      <c r="D52" s="1371"/>
      <c r="E52" s="1038">
        <f>SUM(E39:E51)</f>
        <v>98860</v>
      </c>
      <c r="F52" s="1038">
        <f>SUM(F39:F51)</f>
        <v>13857</v>
      </c>
      <c r="G52" s="1038">
        <f>SUM(G39:G51)</f>
        <v>112717</v>
      </c>
    </row>
    <row r="53" spans="1:7" ht="15.75" customHeight="1">
      <c r="A53" s="1372" t="s">
        <v>1413</v>
      </c>
      <c r="B53" s="1372"/>
      <c r="C53" s="1372"/>
      <c r="D53" s="1372"/>
      <c r="E53" s="1372"/>
      <c r="F53" s="1372"/>
      <c r="G53" s="1372"/>
    </row>
    <row r="54" spans="1:7" ht="15.75" customHeight="1">
      <c r="A54" s="1373" t="s">
        <v>1414</v>
      </c>
      <c r="B54" s="1373"/>
      <c r="C54" s="1373"/>
      <c r="D54" s="1373"/>
      <c r="E54" s="1373"/>
      <c r="F54" s="1039"/>
      <c r="G54" s="1039"/>
    </row>
    <row r="55" spans="1:5" ht="15.75" customHeight="1">
      <c r="A55" s="1040"/>
      <c r="B55" s="1040"/>
      <c r="C55" s="1040"/>
      <c r="D55" s="1040"/>
      <c r="E55" s="1040"/>
    </row>
    <row r="56" spans="1:255" ht="15.75" customHeight="1">
      <c r="A56" s="1041"/>
      <c r="B56" s="1022"/>
      <c r="IQ56" s="1017"/>
      <c r="IR56" s="1017"/>
      <c r="IS56" s="1017"/>
      <c r="IT56" s="1017"/>
      <c r="IU56" s="1017"/>
    </row>
    <row r="57" spans="1:255" ht="15.75" customHeight="1">
      <c r="A57" s="1022"/>
      <c r="IQ57" s="1017"/>
      <c r="IR57" s="1017"/>
      <c r="IS57" s="1017"/>
      <c r="IT57" s="1017"/>
      <c r="IU57" s="1017"/>
    </row>
    <row r="58" spans="251:255" ht="15.75" customHeight="1">
      <c r="IQ58" s="1017"/>
      <c r="IR58" s="1017"/>
      <c r="IS58" s="1017"/>
      <c r="IT58" s="1017"/>
      <c r="IU58" s="1017"/>
    </row>
    <row r="59" spans="251:255" ht="33.75" customHeight="1">
      <c r="IQ59" s="1017"/>
      <c r="IR59" s="1017"/>
      <c r="IS59" s="1017"/>
      <c r="IT59" s="1017"/>
      <c r="IU59" s="1017"/>
    </row>
    <row r="60" spans="251:255" ht="15.75" customHeight="1">
      <c r="IQ60" s="1017"/>
      <c r="IR60" s="1017"/>
      <c r="IS60" s="1017"/>
      <c r="IT60" s="1017"/>
      <c r="IU60" s="1017"/>
    </row>
    <row r="61" spans="251:255" ht="27.75" customHeight="1">
      <c r="IQ61" s="1017"/>
      <c r="IR61" s="1017"/>
      <c r="IS61" s="1017"/>
      <c r="IT61" s="1017"/>
      <c r="IU61" s="1017"/>
    </row>
    <row r="62" spans="251:255" ht="15.75" customHeight="1">
      <c r="IQ62" s="1017"/>
      <c r="IR62" s="1017"/>
      <c r="IS62" s="1017"/>
      <c r="IT62" s="1017"/>
      <c r="IU62" s="1017"/>
    </row>
    <row r="63" spans="251:255" ht="15.75" customHeight="1">
      <c r="IQ63" s="1017"/>
      <c r="IR63" s="1017"/>
      <c r="IS63" s="1017"/>
      <c r="IT63" s="1017"/>
      <c r="IU63" s="1017"/>
    </row>
    <row r="64" spans="251:255" ht="15.75" customHeight="1">
      <c r="IQ64" s="1017"/>
      <c r="IR64" s="1017"/>
      <c r="IS64" s="1017"/>
      <c r="IT64" s="1017"/>
      <c r="IU64" s="1017"/>
    </row>
    <row r="65" spans="251:255" ht="15.75" customHeight="1">
      <c r="IQ65" s="1017"/>
      <c r="IR65" s="1017"/>
      <c r="IS65" s="1017"/>
      <c r="IT65" s="1017"/>
      <c r="IU65" s="1017"/>
    </row>
    <row r="65535" ht="12.75" customHeight="1"/>
    <row r="65536" ht="12.75" customHeight="1"/>
  </sheetData>
  <sheetProtection selectLockedCells="1" selectUnlockedCells="1"/>
  <mergeCells count="64">
    <mergeCell ref="B52:D52"/>
    <mergeCell ref="A53:G53"/>
    <mergeCell ref="A54:E54"/>
    <mergeCell ref="G30:G31"/>
    <mergeCell ref="A32:G32"/>
    <mergeCell ref="A34:G34"/>
    <mergeCell ref="A35:G35"/>
    <mergeCell ref="A37:A38"/>
    <mergeCell ref="B37:D37"/>
    <mergeCell ref="E37:E38"/>
    <mergeCell ref="F37:F38"/>
    <mergeCell ref="G37:G38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G17:G18"/>
    <mergeCell ref="A19:A20"/>
    <mergeCell ref="B19:B20"/>
    <mergeCell ref="C19:C20"/>
    <mergeCell ref="D19:D20"/>
    <mergeCell ref="E19:E20"/>
    <mergeCell ref="F19:F20"/>
    <mergeCell ref="G19:G20"/>
    <mergeCell ref="A1:G2"/>
    <mergeCell ref="A3:G3"/>
    <mergeCell ref="A14:G14"/>
    <mergeCell ref="A15:G15"/>
    <mergeCell ref="A17:A18"/>
    <mergeCell ref="B17:B18"/>
    <mergeCell ref="C17:C18"/>
    <mergeCell ref="D17:D18"/>
    <mergeCell ref="E17:E18"/>
    <mergeCell ref="F17:F18"/>
  </mergeCells>
  <printOptions/>
  <pageMargins left="0.4724409448818898" right="0.4724409448818898" top="0.8661417322834646" bottom="0.4724409448818898" header="0.4724409448818898" footer="0.5118110236220472"/>
  <pageSetup fitToHeight="0" fitToWidth="1" horizontalDpi="300" verticalDpi="300" orientation="portrait" paperSize="9" scale="54" r:id="rId1"/>
  <headerFooter alignWithMargins="0">
    <oddHeader>&amp;L22. melléklet a 16/2016.(V.26.) önkormányzati rendelethez 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zoomScalePageLayoutView="0" workbookViewId="0" topLeftCell="A28">
      <selection activeCell="A39" sqref="A39:IV39"/>
    </sheetView>
  </sheetViews>
  <sheetFormatPr defaultColWidth="9.00390625" defaultRowHeight="12.75"/>
  <cols>
    <col min="1" max="1" width="42.125" style="0" customWidth="1"/>
    <col min="2" max="2" width="28.00390625" style="0" customWidth="1"/>
    <col min="3" max="3" width="34.125" style="0" customWidth="1"/>
    <col min="4" max="4" width="27.375" style="0" customWidth="1"/>
    <col min="5" max="5" width="12.00390625" style="0" customWidth="1"/>
    <col min="6" max="6" width="8.25390625" style="0" customWidth="1"/>
    <col min="7" max="7" width="9.00390625" style="0" customWidth="1"/>
    <col min="8" max="8" width="10.25390625" style="0" customWidth="1"/>
    <col min="9" max="10" width="10.00390625" style="0" customWidth="1"/>
  </cols>
  <sheetData>
    <row r="1" spans="1:10" ht="15.75">
      <c r="A1" s="1383" t="s">
        <v>1144</v>
      </c>
      <c r="B1" s="1383"/>
      <c r="C1" s="1383"/>
      <c r="D1" s="1383"/>
      <c r="E1" s="693"/>
      <c r="F1" s="693"/>
      <c r="G1" s="693"/>
      <c r="H1" s="693"/>
      <c r="I1" s="693"/>
      <c r="J1" s="693"/>
    </row>
    <row r="2" spans="1:9" ht="16.5" customHeight="1">
      <c r="A2" s="613"/>
      <c r="B2" s="613"/>
      <c r="C2" s="613"/>
      <c r="D2" s="613"/>
      <c r="E2" s="613"/>
      <c r="F2" s="613"/>
      <c r="G2" s="613"/>
      <c r="H2" s="613"/>
      <c r="I2" s="602"/>
    </row>
    <row r="3" spans="1:15" ht="75" customHeight="1">
      <c r="A3" s="1376" t="s">
        <v>1210</v>
      </c>
      <c r="B3" s="1376"/>
      <c r="C3" s="1376"/>
      <c r="D3" s="1376"/>
      <c r="E3" s="692"/>
      <c r="F3" s="692"/>
      <c r="G3" s="692"/>
      <c r="H3" s="692"/>
      <c r="I3" s="692"/>
      <c r="J3" s="692"/>
      <c r="K3" s="612"/>
      <c r="L3" s="612"/>
      <c r="M3" s="612"/>
      <c r="N3" s="612"/>
      <c r="O3" s="612"/>
    </row>
    <row r="4" spans="1:10" ht="47.25" customHeight="1">
      <c r="A4" s="1376" t="s">
        <v>1211</v>
      </c>
      <c r="B4" s="1376"/>
      <c r="C4" s="1376"/>
      <c r="D4" s="1376"/>
      <c r="E4" s="692"/>
      <c r="F4" s="692"/>
      <c r="G4" s="692"/>
      <c r="H4" s="692"/>
      <c r="I4" s="692"/>
      <c r="J4" s="692"/>
    </row>
    <row r="5" spans="1:10" ht="58.5" customHeight="1">
      <c r="A5" s="1376" t="s">
        <v>1198</v>
      </c>
      <c r="B5" s="1376"/>
      <c r="C5" s="1376"/>
      <c r="D5" s="1376"/>
      <c r="E5" s="692"/>
      <c r="F5" s="692"/>
      <c r="G5" s="692"/>
      <c r="H5" s="692"/>
      <c r="I5" s="692"/>
      <c r="J5" s="692"/>
    </row>
    <row r="6" spans="1:10" ht="45" customHeight="1">
      <c r="A6" s="1376" t="s">
        <v>1197</v>
      </c>
      <c r="B6" s="1376"/>
      <c r="C6" s="1376"/>
      <c r="D6" s="1376"/>
      <c r="E6" s="692"/>
      <c r="F6" s="692"/>
      <c r="G6" s="692"/>
      <c r="H6" s="692"/>
      <c r="I6" s="692"/>
      <c r="J6" s="692"/>
    </row>
    <row r="7" spans="1:10" ht="56.25" customHeight="1">
      <c r="A7" s="1376" t="s">
        <v>1209</v>
      </c>
      <c r="B7" s="1376"/>
      <c r="C7" s="1376"/>
      <c r="D7" s="1376"/>
      <c r="E7" s="692"/>
      <c r="F7" s="692"/>
      <c r="G7" s="692"/>
      <c r="H7" s="692"/>
      <c r="I7" s="692"/>
      <c r="J7" s="692"/>
    </row>
    <row r="8" spans="1:10" ht="77.25" customHeight="1">
      <c r="A8" s="1376" t="s">
        <v>1199</v>
      </c>
      <c r="B8" s="1376"/>
      <c r="C8" s="1376"/>
      <c r="D8" s="1376"/>
      <c r="E8" s="692"/>
      <c r="F8" s="692"/>
      <c r="G8" s="692"/>
      <c r="H8" s="692"/>
      <c r="I8" s="692"/>
      <c r="J8" s="692"/>
    </row>
    <row r="9" ht="13.5" thickBot="1"/>
    <row r="10" spans="1:7" ht="15.75">
      <c r="A10" s="685" t="s">
        <v>1145</v>
      </c>
      <c r="B10" s="686" t="s">
        <v>1212</v>
      </c>
      <c r="C10" s="1379" t="s">
        <v>1146</v>
      </c>
      <c r="D10" s="1380"/>
      <c r="G10" s="614"/>
    </row>
    <row r="11" spans="1:4" ht="46.5" customHeight="1">
      <c r="A11" s="687" t="s">
        <v>1147</v>
      </c>
      <c r="B11" s="616">
        <v>774</v>
      </c>
      <c r="C11" s="1377" t="s">
        <v>1153</v>
      </c>
      <c r="D11" s="1378"/>
    </row>
    <row r="12" spans="1:4" ht="47.25" customHeight="1">
      <c r="A12" s="687" t="s">
        <v>1148</v>
      </c>
      <c r="B12" s="616">
        <v>443</v>
      </c>
      <c r="C12" s="1377" t="s">
        <v>1153</v>
      </c>
      <c r="D12" s="1378"/>
    </row>
    <row r="13" spans="1:4" ht="31.5">
      <c r="A13" s="687" t="s">
        <v>1149</v>
      </c>
      <c r="B13" s="615" t="s">
        <v>1150</v>
      </c>
      <c r="C13" s="1381" t="s">
        <v>1154</v>
      </c>
      <c r="D13" s="1382"/>
    </row>
    <row r="14" spans="1:4" ht="31.5">
      <c r="A14" s="687" t="s">
        <v>1151</v>
      </c>
      <c r="B14" s="615" t="s">
        <v>1150</v>
      </c>
      <c r="C14" s="1381" t="s">
        <v>1200</v>
      </c>
      <c r="D14" s="1382"/>
    </row>
    <row r="15" spans="1:4" ht="15.75">
      <c r="A15" s="687" t="s">
        <v>1152</v>
      </c>
      <c r="B15" s="616">
        <v>669</v>
      </c>
      <c r="C15" s="1381" t="s">
        <v>1155</v>
      </c>
      <c r="D15" s="1382"/>
    </row>
    <row r="16" spans="1:4" ht="15.75">
      <c r="A16" s="688" t="s">
        <v>1156</v>
      </c>
      <c r="B16" s="616">
        <v>3</v>
      </c>
      <c r="C16" s="1381" t="s">
        <v>1157</v>
      </c>
      <c r="D16" s="1382"/>
    </row>
    <row r="17" spans="1:4" ht="31.5" customHeight="1">
      <c r="A17" s="688" t="s">
        <v>1158</v>
      </c>
      <c r="B17" s="616">
        <v>3</v>
      </c>
      <c r="C17" s="1377" t="s">
        <v>1201</v>
      </c>
      <c r="D17" s="1378"/>
    </row>
    <row r="18" spans="1:4" ht="15.75">
      <c r="A18" s="688" t="s">
        <v>1159</v>
      </c>
      <c r="B18" s="616">
        <v>1</v>
      </c>
      <c r="C18" s="1381" t="s">
        <v>1160</v>
      </c>
      <c r="D18" s="1382"/>
    </row>
    <row r="19" spans="1:4" ht="15.75">
      <c r="A19" s="688" t="s">
        <v>1161</v>
      </c>
      <c r="B19" s="616">
        <v>141</v>
      </c>
      <c r="C19" s="1381" t="s">
        <v>1163</v>
      </c>
      <c r="D19" s="1382"/>
    </row>
    <row r="20" spans="1:4" ht="15.75">
      <c r="A20" s="688" t="s">
        <v>1162</v>
      </c>
      <c r="B20" s="616">
        <v>50</v>
      </c>
      <c r="C20" s="1381" t="s">
        <v>1163</v>
      </c>
      <c r="D20" s="1382"/>
    </row>
    <row r="21" spans="1:4" ht="15.75">
      <c r="A21" s="688" t="s">
        <v>1164</v>
      </c>
      <c r="B21" s="616">
        <v>9</v>
      </c>
      <c r="C21" s="1381" t="s">
        <v>1163</v>
      </c>
      <c r="D21" s="1382"/>
    </row>
    <row r="22" spans="1:4" ht="15.75">
      <c r="A22" s="688" t="s">
        <v>1165</v>
      </c>
      <c r="B22" s="616">
        <v>438</v>
      </c>
      <c r="C22" s="1381" t="s">
        <v>1163</v>
      </c>
      <c r="D22" s="1382"/>
    </row>
    <row r="23" spans="1:7" ht="15.75">
      <c r="A23" s="688" t="s">
        <v>1166</v>
      </c>
      <c r="B23" s="615">
        <v>20</v>
      </c>
      <c r="C23" s="1381" t="s">
        <v>1167</v>
      </c>
      <c r="D23" s="1382"/>
      <c r="G23" s="614"/>
    </row>
    <row r="24" spans="1:4" ht="15.75">
      <c r="A24" s="688" t="s">
        <v>1168</v>
      </c>
      <c r="B24" s="616">
        <v>5</v>
      </c>
      <c r="C24" s="1381" t="s">
        <v>1167</v>
      </c>
      <c r="D24" s="1382"/>
    </row>
    <row r="25" spans="1:4" ht="15.75">
      <c r="A25" s="687" t="s">
        <v>1169</v>
      </c>
      <c r="B25" s="616">
        <v>1</v>
      </c>
      <c r="C25" s="1381" t="s">
        <v>1157</v>
      </c>
      <c r="D25" s="1382"/>
    </row>
    <row r="26" spans="1:4" ht="15.75">
      <c r="A26" s="687" t="s">
        <v>1170</v>
      </c>
      <c r="B26" s="616">
        <v>113</v>
      </c>
      <c r="C26" s="1381" t="s">
        <v>1163</v>
      </c>
      <c r="D26" s="1382"/>
    </row>
    <row r="27" spans="1:4" ht="31.5" customHeight="1">
      <c r="A27" s="688" t="s">
        <v>1171</v>
      </c>
      <c r="B27" s="616">
        <v>168</v>
      </c>
      <c r="C27" s="1377" t="s">
        <v>1172</v>
      </c>
      <c r="D27" s="1378"/>
    </row>
    <row r="28" spans="1:4" ht="15.75">
      <c r="A28" s="688" t="s">
        <v>1173</v>
      </c>
      <c r="B28" s="616">
        <v>56</v>
      </c>
      <c r="C28" s="1381" t="s">
        <v>1174</v>
      </c>
      <c r="D28" s="1382"/>
    </row>
    <row r="29" spans="1:4" ht="15.75">
      <c r="A29" s="688" t="s">
        <v>1175</v>
      </c>
      <c r="B29" s="616">
        <v>380</v>
      </c>
      <c r="C29" s="1381" t="s">
        <v>1163</v>
      </c>
      <c r="D29" s="1382"/>
    </row>
    <row r="30" spans="1:4" ht="15.75">
      <c r="A30" s="688" t="s">
        <v>1176</v>
      </c>
      <c r="B30" s="616">
        <v>6</v>
      </c>
      <c r="C30" s="1381" t="s">
        <v>1163</v>
      </c>
      <c r="D30" s="1382"/>
    </row>
    <row r="31" spans="1:4" ht="15.75">
      <c r="A31" s="688" t="s">
        <v>1202</v>
      </c>
      <c r="B31" s="618">
        <v>1185</v>
      </c>
      <c r="C31" s="1381" t="s">
        <v>1163</v>
      </c>
      <c r="D31" s="1382"/>
    </row>
    <row r="32" spans="1:4" ht="15.75">
      <c r="A32" s="688" t="s">
        <v>1177</v>
      </c>
      <c r="B32" s="616">
        <v>1</v>
      </c>
      <c r="C32" s="1381" t="s">
        <v>1163</v>
      </c>
      <c r="D32" s="1382"/>
    </row>
    <row r="33" spans="1:4" ht="15.75">
      <c r="A33" s="688" t="s">
        <v>1178</v>
      </c>
      <c r="B33" s="616">
        <v>623</v>
      </c>
      <c r="C33" s="1381" t="s">
        <v>1163</v>
      </c>
      <c r="D33" s="1382"/>
    </row>
    <row r="34" spans="1:4" ht="15.75">
      <c r="A34" s="689" t="s">
        <v>1179</v>
      </c>
      <c r="B34" s="616">
        <v>9</v>
      </c>
      <c r="C34" s="1377" t="s">
        <v>1180</v>
      </c>
      <c r="D34" s="1378"/>
    </row>
    <row r="35" spans="1:4" ht="28.5" customHeight="1">
      <c r="A35" s="688" t="s">
        <v>1181</v>
      </c>
      <c r="B35" s="616">
        <v>595</v>
      </c>
      <c r="C35" s="1377" t="s">
        <v>1182</v>
      </c>
      <c r="D35" s="1378"/>
    </row>
    <row r="36" spans="1:4" ht="31.5" customHeight="1">
      <c r="A36" s="688" t="s">
        <v>1183</v>
      </c>
      <c r="B36" s="616">
        <v>6</v>
      </c>
      <c r="C36" s="1377" t="s">
        <v>1180</v>
      </c>
      <c r="D36" s="1378"/>
    </row>
    <row r="37" spans="1:4" ht="30.75" customHeight="1">
      <c r="A37" s="688" t="s">
        <v>1184</v>
      </c>
      <c r="B37" s="616">
        <v>4</v>
      </c>
      <c r="C37" s="1377" t="s">
        <v>1180</v>
      </c>
      <c r="D37" s="1378"/>
    </row>
    <row r="38" spans="1:4" ht="34.5" customHeight="1">
      <c r="A38" s="688" t="s">
        <v>1185</v>
      </c>
      <c r="B38" s="616">
        <v>4</v>
      </c>
      <c r="C38" s="1377" t="s">
        <v>1180</v>
      </c>
      <c r="D38" s="1378"/>
    </row>
    <row r="39" spans="1:4" ht="32.25" customHeight="1">
      <c r="A39" s="688" t="s">
        <v>1186</v>
      </c>
      <c r="B39" s="616">
        <v>4</v>
      </c>
      <c r="C39" s="1377" t="s">
        <v>1180</v>
      </c>
      <c r="D39" s="1378"/>
    </row>
    <row r="40" spans="1:4" ht="30.75" customHeight="1">
      <c r="A40" s="688" t="s">
        <v>1187</v>
      </c>
      <c r="B40" s="616">
        <v>11</v>
      </c>
      <c r="C40" s="1377" t="s">
        <v>1180</v>
      </c>
      <c r="D40" s="1378"/>
    </row>
    <row r="41" spans="1:4" ht="33.75" customHeight="1">
      <c r="A41" s="688" t="s">
        <v>1188</v>
      </c>
      <c r="B41" s="616">
        <v>63</v>
      </c>
      <c r="C41" s="1377" t="s">
        <v>1180</v>
      </c>
      <c r="D41" s="1378"/>
    </row>
    <row r="42" spans="1:4" ht="31.5" customHeight="1">
      <c r="A42" s="687" t="s">
        <v>1189</v>
      </c>
      <c r="B42" s="616">
        <v>144</v>
      </c>
      <c r="C42" s="1377" t="s">
        <v>1180</v>
      </c>
      <c r="D42" s="1378"/>
    </row>
    <row r="43" spans="1:4" ht="31.5" customHeight="1">
      <c r="A43" s="687" t="s">
        <v>1190</v>
      </c>
      <c r="B43" s="616">
        <v>7</v>
      </c>
      <c r="C43" s="1377" t="s">
        <v>1180</v>
      </c>
      <c r="D43" s="1378"/>
    </row>
    <row r="44" spans="1:4" ht="33" customHeight="1">
      <c r="A44" s="687" t="s">
        <v>1191</v>
      </c>
      <c r="B44" s="616">
        <v>2</v>
      </c>
      <c r="C44" s="1377" t="s">
        <v>1180</v>
      </c>
      <c r="D44" s="1378"/>
    </row>
    <row r="45" spans="1:4" ht="31.5" customHeight="1">
      <c r="A45" s="687" t="s">
        <v>1192</v>
      </c>
      <c r="B45" s="616">
        <v>171</v>
      </c>
      <c r="C45" s="1377" t="s">
        <v>1180</v>
      </c>
      <c r="D45" s="1378"/>
    </row>
    <row r="46" spans="1:4" ht="31.5" customHeight="1">
      <c r="A46" s="687" t="s">
        <v>1193</v>
      </c>
      <c r="B46" s="618">
        <v>3254</v>
      </c>
      <c r="C46" s="1377" t="s">
        <v>1194</v>
      </c>
      <c r="D46" s="1378"/>
    </row>
    <row r="47" spans="1:4" ht="31.5" customHeight="1" thickBot="1">
      <c r="A47" s="690" t="s">
        <v>1195</v>
      </c>
      <c r="B47" s="691">
        <v>227</v>
      </c>
      <c r="C47" s="1384" t="s">
        <v>1196</v>
      </c>
      <c r="D47" s="1385"/>
    </row>
    <row r="48" spans="1:4" ht="63" customHeight="1">
      <c r="A48" s="694"/>
      <c r="B48" s="695"/>
      <c r="C48" s="696"/>
      <c r="D48" s="696"/>
    </row>
    <row r="49" spans="1:4" ht="3.75" customHeight="1">
      <c r="A49" s="602"/>
      <c r="B49" s="617"/>
      <c r="C49" s="602"/>
      <c r="D49" s="602"/>
    </row>
    <row r="50" spans="1:4" ht="15.75" customHeight="1">
      <c r="A50" s="1386" t="s">
        <v>1203</v>
      </c>
      <c r="B50" s="1386"/>
      <c r="C50" s="1386"/>
      <c r="D50" s="1386"/>
    </row>
    <row r="51" spans="1:4" ht="15.75" customHeight="1">
      <c r="A51" s="1386"/>
      <c r="B51" s="1386"/>
      <c r="C51" s="1386"/>
      <c r="D51" s="1386"/>
    </row>
    <row r="52" spans="1:4" ht="15.75" customHeight="1">
      <c r="A52" s="1386"/>
      <c r="B52" s="1386"/>
      <c r="C52" s="1386"/>
      <c r="D52" s="1386"/>
    </row>
    <row r="53" spans="1:4" ht="15.75" customHeight="1">
      <c r="A53" s="1386"/>
      <c r="B53" s="1386"/>
      <c r="C53" s="1386"/>
      <c r="D53" s="1386"/>
    </row>
    <row r="54" spans="1:4" ht="15.75" customHeight="1">
      <c r="A54" s="1386"/>
      <c r="B54" s="1386"/>
      <c r="C54" s="1386"/>
      <c r="D54" s="1386"/>
    </row>
    <row r="55" spans="1:4" ht="15.75" customHeight="1">
      <c r="A55" s="1386"/>
      <c r="B55" s="1386"/>
      <c r="C55" s="1386"/>
      <c r="D55" s="1386"/>
    </row>
    <row r="56" spans="1:4" ht="15.75" customHeight="1">
      <c r="A56" s="1386"/>
      <c r="B56" s="1386"/>
      <c r="C56" s="1386"/>
      <c r="D56" s="1386"/>
    </row>
    <row r="57" spans="1:4" ht="15.75" customHeight="1">
      <c r="A57" s="1386"/>
      <c r="B57" s="1386"/>
      <c r="C57" s="1386"/>
      <c r="D57" s="1386"/>
    </row>
    <row r="58" spans="1:4" ht="14.25" customHeight="1">
      <c r="A58" s="1386"/>
      <c r="B58" s="1386"/>
      <c r="C58" s="1386"/>
      <c r="D58" s="1386"/>
    </row>
    <row r="59" spans="1:4" ht="22.5" customHeight="1" hidden="1">
      <c r="A59" s="1386"/>
      <c r="B59" s="1386"/>
      <c r="C59" s="1386"/>
      <c r="D59" s="1386"/>
    </row>
    <row r="60" spans="1:4" ht="106.5" customHeight="1">
      <c r="A60" s="1376" t="s">
        <v>1206</v>
      </c>
      <c r="B60" s="1376"/>
      <c r="C60" s="1376"/>
      <c r="D60" s="1376"/>
    </row>
    <row r="61" spans="1:4" ht="21.75" customHeight="1">
      <c r="A61" s="1376"/>
      <c r="B61" s="1376"/>
      <c r="C61" s="1376"/>
      <c r="D61" s="1376"/>
    </row>
    <row r="62" spans="1:4" ht="12.75" customHeight="1" hidden="1">
      <c r="A62" s="1376"/>
      <c r="B62" s="1376"/>
      <c r="C62" s="1376"/>
      <c r="D62" s="1376"/>
    </row>
    <row r="63" spans="1:4" ht="12.75" customHeight="1" hidden="1">
      <c r="A63" s="1376"/>
      <c r="B63" s="1376"/>
      <c r="C63" s="1376"/>
      <c r="D63" s="1376"/>
    </row>
    <row r="64" spans="1:4" ht="12.75" customHeight="1" hidden="1">
      <c r="A64" s="1376"/>
      <c r="B64" s="1376"/>
      <c r="C64" s="1376"/>
      <c r="D64" s="1376"/>
    </row>
    <row r="65" spans="1:4" ht="12.75" customHeight="1" hidden="1">
      <c r="A65" s="1376"/>
      <c r="B65" s="1376"/>
      <c r="C65" s="1376"/>
      <c r="D65" s="1376"/>
    </row>
    <row r="66" spans="1:4" ht="12.75" customHeight="1" hidden="1">
      <c r="A66" s="1376"/>
      <c r="B66" s="1376"/>
      <c r="C66" s="1376"/>
      <c r="D66" s="1376"/>
    </row>
    <row r="67" spans="1:4" ht="12.75" customHeight="1" hidden="1">
      <c r="A67" s="1376"/>
      <c r="B67" s="1376"/>
      <c r="C67" s="1376"/>
      <c r="D67" s="1376"/>
    </row>
    <row r="68" spans="1:4" ht="12.75" customHeight="1" hidden="1">
      <c r="A68" s="1376"/>
      <c r="B68" s="1376"/>
      <c r="C68" s="1376"/>
      <c r="D68" s="1376"/>
    </row>
    <row r="69" spans="1:4" ht="12.75" customHeight="1" hidden="1">
      <c r="A69" s="1376"/>
      <c r="B69" s="1376"/>
      <c r="C69" s="1376"/>
      <c r="D69" s="1376"/>
    </row>
    <row r="70" spans="1:4" ht="12.75" customHeight="1" hidden="1">
      <c r="A70" s="1376"/>
      <c r="B70" s="1376"/>
      <c r="C70" s="1376"/>
      <c r="D70" s="1376"/>
    </row>
    <row r="71" spans="1:4" ht="12.75" customHeight="1" hidden="1">
      <c r="A71" s="1376"/>
      <c r="B71" s="1376"/>
      <c r="C71" s="1376"/>
      <c r="D71" s="1376"/>
    </row>
    <row r="72" spans="1:4" ht="12.75" customHeight="1" hidden="1">
      <c r="A72" s="1376"/>
      <c r="B72" s="1376"/>
      <c r="C72" s="1376"/>
      <c r="D72" s="1376"/>
    </row>
    <row r="73" spans="1:4" ht="12.75" customHeight="1" hidden="1">
      <c r="A73" s="1376"/>
      <c r="B73" s="1376"/>
      <c r="C73" s="1376"/>
      <c r="D73" s="1376"/>
    </row>
    <row r="74" spans="1:4" ht="12.75" customHeight="1" hidden="1">
      <c r="A74" s="1376"/>
      <c r="B74" s="1376"/>
      <c r="C74" s="1376"/>
      <c r="D74" s="1376"/>
    </row>
    <row r="75" spans="1:4" ht="12.75" customHeight="1" hidden="1">
      <c r="A75" s="1376"/>
      <c r="B75" s="1376"/>
      <c r="C75" s="1376"/>
      <c r="D75" s="1376"/>
    </row>
    <row r="76" spans="1:4" ht="12.75" customHeight="1" hidden="1">
      <c r="A76" s="1376"/>
      <c r="B76" s="1376"/>
      <c r="C76" s="1376"/>
      <c r="D76" s="1376"/>
    </row>
    <row r="77" spans="1:4" ht="12.75" customHeight="1" hidden="1">
      <c r="A77" s="1376"/>
      <c r="B77" s="1376"/>
      <c r="C77" s="1376"/>
      <c r="D77" s="1376"/>
    </row>
  </sheetData>
  <sheetProtection/>
  <mergeCells count="47">
    <mergeCell ref="A1:D1"/>
    <mergeCell ref="A60:D77"/>
    <mergeCell ref="C44:D44"/>
    <mergeCell ref="C45:D45"/>
    <mergeCell ref="C46:D46"/>
    <mergeCell ref="C47:D47"/>
    <mergeCell ref="A50:D59"/>
    <mergeCell ref="C23:D23"/>
    <mergeCell ref="C38:D38"/>
    <mergeCell ref="C39:D39"/>
    <mergeCell ref="C40:D40"/>
    <mergeCell ref="C41:D41"/>
    <mergeCell ref="C42:D42"/>
    <mergeCell ref="C33:D33"/>
    <mergeCell ref="C24:D24"/>
    <mergeCell ref="C43:D43"/>
    <mergeCell ref="C32:D32"/>
    <mergeCell ref="C31:D31"/>
    <mergeCell ref="C30:D30"/>
    <mergeCell ref="C29:D29"/>
    <mergeCell ref="C28:D28"/>
    <mergeCell ref="C37:D37"/>
    <mergeCell ref="C36:D36"/>
    <mergeCell ref="C35:D35"/>
    <mergeCell ref="C34:D34"/>
    <mergeCell ref="C22:D22"/>
    <mergeCell ref="C25:D25"/>
    <mergeCell ref="C26:D26"/>
    <mergeCell ref="C27:D27"/>
    <mergeCell ref="C13:D13"/>
    <mergeCell ref="C16:D16"/>
    <mergeCell ref="C17:D17"/>
    <mergeCell ref="C21:D21"/>
    <mergeCell ref="C20:D20"/>
    <mergeCell ref="C19:D19"/>
    <mergeCell ref="C18:D18"/>
    <mergeCell ref="C14:D14"/>
    <mergeCell ref="C15:D15"/>
    <mergeCell ref="A3:D3"/>
    <mergeCell ref="A4:D4"/>
    <mergeCell ref="A7:D7"/>
    <mergeCell ref="A8:D8"/>
    <mergeCell ref="C11:D11"/>
    <mergeCell ref="C12:D12"/>
    <mergeCell ref="C10:D10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  <headerFooter>
    <oddHeader>&amp;L23. melléklet a 16/2016.(V.26.)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="58" zoomScaleNormal="78" zoomScaleSheetLayoutView="58" workbookViewId="0" topLeftCell="A22">
      <selection activeCell="P36" sqref="P36"/>
    </sheetView>
  </sheetViews>
  <sheetFormatPr defaultColWidth="9.00390625" defaultRowHeight="12.75"/>
  <cols>
    <col min="1" max="1" width="104.375" style="388" customWidth="1"/>
    <col min="2" max="2" width="19.75390625" style="388" customWidth="1"/>
    <col min="3" max="4" width="16.625" style="388" customWidth="1"/>
    <col min="5" max="5" width="19.75390625" style="388" customWidth="1"/>
    <col min="6" max="7" width="17.125" style="388" customWidth="1"/>
    <col min="8" max="8" width="19.75390625" style="388" customWidth="1"/>
    <col min="9" max="10" width="18.00390625" style="388" customWidth="1"/>
    <col min="11" max="14" width="19.75390625" style="388" customWidth="1"/>
    <col min="15" max="16" width="17.375" style="388" customWidth="1"/>
    <col min="17" max="16384" width="9.125" style="388" customWidth="1"/>
  </cols>
  <sheetData>
    <row r="1" ht="18.75">
      <c r="A1" s="540"/>
    </row>
    <row r="2" spans="1:16" ht="18.75">
      <c r="A2" s="1162" t="s">
        <v>229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</row>
    <row r="3" ht="19.5" thickBot="1"/>
    <row r="4" spans="1:16" ht="45" customHeight="1">
      <c r="A4" s="1167" t="s">
        <v>587</v>
      </c>
      <c r="B4" s="1163" t="s">
        <v>5</v>
      </c>
      <c r="C4" s="1164"/>
      <c r="D4" s="1169"/>
      <c r="E4" s="1163" t="s">
        <v>12</v>
      </c>
      <c r="F4" s="1164"/>
      <c r="G4" s="1169"/>
      <c r="H4" s="1163" t="s">
        <v>558</v>
      </c>
      <c r="I4" s="1164"/>
      <c r="J4" s="1169"/>
      <c r="K4" s="1163" t="s">
        <v>14</v>
      </c>
      <c r="L4" s="1164"/>
      <c r="M4" s="1164"/>
      <c r="N4" s="1165" t="s">
        <v>257</v>
      </c>
      <c r="O4" s="1165"/>
      <c r="P4" s="1166"/>
    </row>
    <row r="5" spans="1:16" ht="18.75" customHeight="1">
      <c r="A5" s="1168"/>
      <c r="B5" s="529" t="s">
        <v>4</v>
      </c>
      <c r="C5" s="371" t="s">
        <v>976</v>
      </c>
      <c r="D5" s="371" t="s">
        <v>1032</v>
      </c>
      <c r="E5" s="529" t="s">
        <v>4</v>
      </c>
      <c r="F5" s="371" t="s">
        <v>976</v>
      </c>
      <c r="G5" s="371" t="s">
        <v>1032</v>
      </c>
      <c r="H5" s="529" t="s">
        <v>4</v>
      </c>
      <c r="I5" s="371" t="s">
        <v>976</v>
      </c>
      <c r="J5" s="371" t="s">
        <v>1032</v>
      </c>
      <c r="K5" s="529" t="s">
        <v>4</v>
      </c>
      <c r="L5" s="372" t="s">
        <v>976</v>
      </c>
      <c r="M5" s="371" t="s">
        <v>1032</v>
      </c>
      <c r="N5" s="529" t="s">
        <v>622</v>
      </c>
      <c r="O5" s="400" t="s">
        <v>976</v>
      </c>
      <c r="P5" s="371" t="s">
        <v>1032</v>
      </c>
    </row>
    <row r="6" spans="1:16" s="540" customFormat="1" ht="20.25" customHeight="1">
      <c r="A6" s="541" t="s">
        <v>588</v>
      </c>
      <c r="B6" s="542">
        <f>SUM(B7:B7)</f>
        <v>1107179</v>
      </c>
      <c r="C6" s="542">
        <f>SUM(C7:C9)</f>
        <v>1202020</v>
      </c>
      <c r="D6" s="542">
        <f>SUM(D7:D9)</f>
        <v>1202021</v>
      </c>
      <c r="E6" s="542">
        <f>SUM(E7:E7)</f>
        <v>0</v>
      </c>
      <c r="F6" s="542"/>
      <c r="G6" s="542"/>
      <c r="H6" s="542">
        <f>SUM(H7:H7)</f>
        <v>0</v>
      </c>
      <c r="I6" s="542"/>
      <c r="J6" s="542"/>
      <c r="K6" s="542">
        <f>SUM(K7:K7)</f>
        <v>0</v>
      </c>
      <c r="L6" s="542">
        <v>0</v>
      </c>
      <c r="M6" s="542">
        <v>0</v>
      </c>
      <c r="N6" s="542">
        <f>SUM(B6+E6+H6+K6)</f>
        <v>1107179</v>
      </c>
      <c r="O6" s="543">
        <f>SUM(C6+F6+I6+L6)</f>
        <v>1202020</v>
      </c>
      <c r="P6" s="543">
        <f>SUM(D6+G6+J6+M6)</f>
        <v>1202021</v>
      </c>
    </row>
    <row r="7" spans="1:16" s="547" customFormat="1" ht="21" customHeight="1">
      <c r="A7" s="544" t="s">
        <v>679</v>
      </c>
      <c r="B7" s="545">
        <v>1107179</v>
      </c>
      <c r="C7" s="545">
        <v>1163047</v>
      </c>
      <c r="D7" s="545">
        <v>1163048</v>
      </c>
      <c r="E7" s="546"/>
      <c r="F7" s="546"/>
      <c r="G7" s="546"/>
      <c r="H7" s="546"/>
      <c r="I7" s="546"/>
      <c r="J7" s="546"/>
      <c r="K7" s="546"/>
      <c r="L7" s="546"/>
      <c r="M7" s="546"/>
      <c r="N7" s="542">
        <f>SUM(B7+E7+H7+K7)</f>
        <v>1107179</v>
      </c>
      <c r="O7" s="543">
        <f aca="true" t="shared" si="0" ref="O7:O64">SUM(C7+F7+I7+L7)</f>
        <v>1163047</v>
      </c>
      <c r="P7" s="543">
        <f aca="true" t="shared" si="1" ref="P7:P39">SUM(D7+G7+J7+M7)</f>
        <v>1163048</v>
      </c>
    </row>
    <row r="8" spans="1:16" s="547" customFormat="1" ht="18.75" customHeight="1">
      <c r="A8" s="544" t="s">
        <v>738</v>
      </c>
      <c r="B8" s="545"/>
      <c r="C8" s="545">
        <v>4841</v>
      </c>
      <c r="D8" s="545">
        <v>4841</v>
      </c>
      <c r="E8" s="546"/>
      <c r="F8" s="546"/>
      <c r="G8" s="546"/>
      <c r="H8" s="546"/>
      <c r="I8" s="546"/>
      <c r="J8" s="546"/>
      <c r="K8" s="546"/>
      <c r="L8" s="546"/>
      <c r="M8" s="546"/>
      <c r="N8" s="542"/>
      <c r="O8" s="543">
        <f t="shared" si="0"/>
        <v>4841</v>
      </c>
      <c r="P8" s="543">
        <f t="shared" si="1"/>
        <v>4841</v>
      </c>
    </row>
    <row r="9" spans="1:16" s="547" customFormat="1" ht="18" customHeight="1">
      <c r="A9" s="544" t="s">
        <v>686</v>
      </c>
      <c r="B9" s="545"/>
      <c r="C9" s="545">
        <v>34132</v>
      </c>
      <c r="D9" s="545">
        <v>34132</v>
      </c>
      <c r="E9" s="546"/>
      <c r="F9" s="546"/>
      <c r="G9" s="546"/>
      <c r="H9" s="546"/>
      <c r="I9" s="546"/>
      <c r="J9" s="546"/>
      <c r="K9" s="546"/>
      <c r="L9" s="546"/>
      <c r="M9" s="546"/>
      <c r="N9" s="542"/>
      <c r="O9" s="543">
        <f t="shared" si="0"/>
        <v>34132</v>
      </c>
      <c r="P9" s="543">
        <f t="shared" si="1"/>
        <v>34132</v>
      </c>
    </row>
    <row r="10" spans="1:16" ht="18" customHeight="1">
      <c r="A10" s="548" t="s">
        <v>691</v>
      </c>
      <c r="B10" s="542">
        <f aca="true" t="shared" si="2" ref="B10:K10">SUM(B11:B12)</f>
        <v>279487</v>
      </c>
      <c r="C10" s="542">
        <f>SUM(C11:C13)</f>
        <v>625214</v>
      </c>
      <c r="D10" s="542">
        <f>SUM(D11:D13)</f>
        <v>624237</v>
      </c>
      <c r="E10" s="542">
        <f t="shared" si="2"/>
        <v>20163</v>
      </c>
      <c r="F10" s="542">
        <f>SUM(F11:F12)</f>
        <v>29281</v>
      </c>
      <c r="G10" s="542">
        <f t="shared" si="2"/>
        <v>28922</v>
      </c>
      <c r="H10" s="542">
        <f t="shared" si="2"/>
        <v>110310</v>
      </c>
      <c r="I10" s="542">
        <f>SUM(I11:I12)</f>
        <v>124497</v>
      </c>
      <c r="J10" s="542">
        <f t="shared" si="2"/>
        <v>123259</v>
      </c>
      <c r="K10" s="542">
        <f t="shared" si="2"/>
        <v>11200</v>
      </c>
      <c r="L10" s="542">
        <v>0</v>
      </c>
      <c r="M10" s="542">
        <v>0</v>
      </c>
      <c r="N10" s="542">
        <f>SUM(B10+E10+H10+K10)</f>
        <v>421160</v>
      </c>
      <c r="O10" s="543">
        <f t="shared" si="0"/>
        <v>778992</v>
      </c>
      <c r="P10" s="543">
        <f t="shared" si="1"/>
        <v>776418</v>
      </c>
    </row>
    <row r="11" spans="1:16" ht="18" customHeight="1">
      <c r="A11" s="544" t="s">
        <v>590</v>
      </c>
      <c r="B11" s="545">
        <v>107209</v>
      </c>
      <c r="C11" s="545">
        <v>6490</v>
      </c>
      <c r="D11" s="545">
        <v>6490</v>
      </c>
      <c r="E11" s="545"/>
      <c r="F11" s="545"/>
      <c r="G11" s="545"/>
      <c r="H11" s="545"/>
      <c r="I11" s="545"/>
      <c r="J11" s="545"/>
      <c r="K11" s="545"/>
      <c r="L11" s="545"/>
      <c r="M11" s="545"/>
      <c r="N11" s="542">
        <f>SUM(B11+E11+H11+K11)</f>
        <v>107209</v>
      </c>
      <c r="O11" s="543">
        <f t="shared" si="0"/>
        <v>6490</v>
      </c>
      <c r="P11" s="543">
        <f t="shared" si="1"/>
        <v>6490</v>
      </c>
    </row>
    <row r="12" spans="1:16" ht="18" customHeight="1">
      <c r="A12" s="544" t="s">
        <v>591</v>
      </c>
      <c r="B12" s="545">
        <v>172278</v>
      </c>
      <c r="C12" s="545">
        <v>588724</v>
      </c>
      <c r="D12" s="545">
        <v>587747</v>
      </c>
      <c r="E12" s="545">
        <v>20163</v>
      </c>
      <c r="F12" s="545">
        <v>29281</v>
      </c>
      <c r="G12" s="545">
        <v>28922</v>
      </c>
      <c r="H12" s="545">
        <v>110310</v>
      </c>
      <c r="I12" s="545">
        <v>124497</v>
      </c>
      <c r="J12" s="545">
        <v>123259</v>
      </c>
      <c r="K12" s="545">
        <v>11200</v>
      </c>
      <c r="L12" s="545">
        <v>0</v>
      </c>
      <c r="M12" s="545">
        <v>0</v>
      </c>
      <c r="N12" s="542">
        <f>SUM(B12+E12+H12+K12)</f>
        <v>313951</v>
      </c>
      <c r="O12" s="543">
        <f t="shared" si="0"/>
        <v>742502</v>
      </c>
      <c r="P12" s="543">
        <f t="shared" si="1"/>
        <v>739928</v>
      </c>
    </row>
    <row r="13" spans="1:16" ht="18" customHeight="1">
      <c r="A13" s="544" t="s">
        <v>813</v>
      </c>
      <c r="B13" s="545"/>
      <c r="C13" s="545">
        <v>30000</v>
      </c>
      <c r="D13" s="545">
        <v>30000</v>
      </c>
      <c r="E13" s="545"/>
      <c r="F13" s="545"/>
      <c r="G13" s="545"/>
      <c r="H13" s="545"/>
      <c r="I13" s="545"/>
      <c r="J13" s="545"/>
      <c r="K13" s="545"/>
      <c r="L13" s="545"/>
      <c r="M13" s="545"/>
      <c r="N13" s="542"/>
      <c r="O13" s="543">
        <f t="shared" si="0"/>
        <v>30000</v>
      </c>
      <c r="P13" s="543">
        <f t="shared" si="1"/>
        <v>30000</v>
      </c>
    </row>
    <row r="14" spans="1:16" s="547" customFormat="1" ht="18" customHeight="1">
      <c r="A14" s="549" t="s">
        <v>692</v>
      </c>
      <c r="B14" s="542">
        <f aca="true" t="shared" si="3" ref="B14:K14">SUM(B15:B16)</f>
        <v>1589994</v>
      </c>
      <c r="C14" s="542">
        <f>SUM(C15:C16)</f>
        <v>1061521</v>
      </c>
      <c r="D14" s="542">
        <f>SUM(D15:D16)</f>
        <v>1032370</v>
      </c>
      <c r="E14" s="542">
        <f t="shared" si="3"/>
        <v>15925</v>
      </c>
      <c r="F14" s="542">
        <f>SUM(F15:F16)</f>
        <v>7733</v>
      </c>
      <c r="G14" s="542">
        <f t="shared" si="3"/>
        <v>6812</v>
      </c>
      <c r="H14" s="542">
        <f t="shared" si="3"/>
        <v>900</v>
      </c>
      <c r="I14" s="542">
        <f>SUM(I15:I16)</f>
        <v>6000</v>
      </c>
      <c r="J14" s="542">
        <f t="shared" si="3"/>
        <v>6000</v>
      </c>
      <c r="K14" s="542">
        <f t="shared" si="3"/>
        <v>0</v>
      </c>
      <c r="L14" s="542">
        <v>0</v>
      </c>
      <c r="M14" s="542">
        <v>0</v>
      </c>
      <c r="N14" s="542">
        <f>SUM(B14+E14+H14+K14)</f>
        <v>1606819</v>
      </c>
      <c r="O14" s="543">
        <f t="shared" si="0"/>
        <v>1075254</v>
      </c>
      <c r="P14" s="543">
        <f t="shared" si="1"/>
        <v>1045182</v>
      </c>
    </row>
    <row r="15" spans="1:16" s="551" customFormat="1" ht="18" customHeight="1">
      <c r="A15" s="544" t="s">
        <v>590</v>
      </c>
      <c r="B15" s="545">
        <v>1300</v>
      </c>
      <c r="C15" s="545">
        <v>380</v>
      </c>
      <c r="D15" s="545">
        <v>380</v>
      </c>
      <c r="E15" s="545">
        <v>990</v>
      </c>
      <c r="F15" s="545"/>
      <c r="G15" s="545"/>
      <c r="H15" s="550"/>
      <c r="I15" s="550"/>
      <c r="J15" s="550"/>
      <c r="K15" s="550"/>
      <c r="L15" s="550"/>
      <c r="M15" s="550"/>
      <c r="N15" s="542">
        <f>SUM(B15+E15+H15+K15)</f>
        <v>2290</v>
      </c>
      <c r="O15" s="543">
        <f t="shared" si="0"/>
        <v>380</v>
      </c>
      <c r="P15" s="543">
        <f t="shared" si="1"/>
        <v>380</v>
      </c>
    </row>
    <row r="16" spans="1:16" s="551" customFormat="1" ht="18" customHeight="1">
      <c r="A16" s="544" t="s">
        <v>591</v>
      </c>
      <c r="B16" s="545">
        <v>1588694</v>
      </c>
      <c r="C16" s="545">
        <v>1061141</v>
      </c>
      <c r="D16" s="545">
        <v>1031990</v>
      </c>
      <c r="E16" s="545">
        <v>14935</v>
      </c>
      <c r="F16" s="545">
        <v>7733</v>
      </c>
      <c r="G16" s="545">
        <v>6812</v>
      </c>
      <c r="H16" s="550">
        <v>900</v>
      </c>
      <c r="I16" s="550">
        <v>6000</v>
      </c>
      <c r="J16" s="550">
        <v>6000</v>
      </c>
      <c r="K16" s="550"/>
      <c r="L16" s="550"/>
      <c r="M16" s="550"/>
      <c r="N16" s="542">
        <f>SUM(B16+E16+H16+K16)</f>
        <v>1604529</v>
      </c>
      <c r="O16" s="543">
        <f t="shared" si="0"/>
        <v>1074874</v>
      </c>
      <c r="P16" s="543">
        <f t="shared" si="1"/>
        <v>1044802</v>
      </c>
    </row>
    <row r="17" spans="1:16" s="551" customFormat="1" ht="18" customHeight="1">
      <c r="A17" s="549" t="s">
        <v>685</v>
      </c>
      <c r="B17" s="545"/>
      <c r="C17" s="542">
        <f>SUM(C18:C19)</f>
        <v>9581</v>
      </c>
      <c r="D17" s="542">
        <f>SUM(D18:D19)</f>
        <v>9581</v>
      </c>
      <c r="E17" s="545"/>
      <c r="F17" s="545"/>
      <c r="G17" s="545"/>
      <c r="H17" s="550"/>
      <c r="I17" s="550"/>
      <c r="J17" s="550"/>
      <c r="K17" s="550"/>
      <c r="L17" s="550"/>
      <c r="M17" s="550"/>
      <c r="N17" s="542"/>
      <c r="O17" s="543">
        <f t="shared" si="0"/>
        <v>9581</v>
      </c>
      <c r="P17" s="543">
        <f t="shared" si="1"/>
        <v>9581</v>
      </c>
    </row>
    <row r="18" spans="1:16" s="551" customFormat="1" ht="18" customHeight="1">
      <c r="A18" s="544" t="s">
        <v>686</v>
      </c>
      <c r="B18" s="545"/>
      <c r="C18" s="545">
        <v>6674</v>
      </c>
      <c r="D18" s="545">
        <v>6674</v>
      </c>
      <c r="E18" s="545"/>
      <c r="F18" s="545"/>
      <c r="G18" s="545"/>
      <c r="H18" s="550"/>
      <c r="I18" s="550"/>
      <c r="J18" s="550"/>
      <c r="K18" s="550"/>
      <c r="L18" s="550"/>
      <c r="M18" s="550"/>
      <c r="N18" s="542"/>
      <c r="O18" s="543">
        <f t="shared" si="0"/>
        <v>6674</v>
      </c>
      <c r="P18" s="543">
        <f t="shared" si="1"/>
        <v>6674</v>
      </c>
    </row>
    <row r="19" spans="1:16" s="551" customFormat="1" ht="18" customHeight="1">
      <c r="A19" s="544" t="s">
        <v>739</v>
      </c>
      <c r="B19" s="545"/>
      <c r="C19" s="545">
        <v>2907</v>
      </c>
      <c r="D19" s="545">
        <v>2907</v>
      </c>
      <c r="E19" s="545"/>
      <c r="F19" s="545"/>
      <c r="G19" s="545"/>
      <c r="H19" s="550"/>
      <c r="I19" s="550"/>
      <c r="J19" s="550"/>
      <c r="K19" s="550"/>
      <c r="L19" s="550"/>
      <c r="M19" s="550"/>
      <c r="N19" s="542"/>
      <c r="O19" s="543">
        <f t="shared" si="0"/>
        <v>2907</v>
      </c>
      <c r="P19" s="543">
        <f t="shared" si="1"/>
        <v>2907</v>
      </c>
    </row>
    <row r="20" spans="1:16" s="551" customFormat="1" ht="18" customHeight="1">
      <c r="A20" s="549" t="s">
        <v>600</v>
      </c>
      <c r="B20" s="542">
        <f>SUM(B21+B24+B29+B30)</f>
        <v>1918951</v>
      </c>
      <c r="C20" s="542">
        <f>SUM(C21+C24+C29+C30+C31)</f>
        <v>2054674</v>
      </c>
      <c r="D20" s="542">
        <f>SUM(D21+D24+D29+D30+D31)</f>
        <v>2056268</v>
      </c>
      <c r="E20" s="542">
        <f aca="true" t="shared" si="4" ref="E20:K20">SUM(E21+E24+E29+E30)</f>
        <v>0</v>
      </c>
      <c r="F20" s="542">
        <v>0</v>
      </c>
      <c r="G20" s="542">
        <v>550</v>
      </c>
      <c r="H20" s="542">
        <f t="shared" si="4"/>
        <v>0</v>
      </c>
      <c r="I20" s="542">
        <v>0</v>
      </c>
      <c r="J20" s="542">
        <v>0</v>
      </c>
      <c r="K20" s="542">
        <f t="shared" si="4"/>
        <v>0</v>
      </c>
      <c r="L20" s="542">
        <v>0</v>
      </c>
      <c r="M20" s="542">
        <v>0</v>
      </c>
      <c r="N20" s="542">
        <f aca="true" t="shared" si="5" ref="N20:N30">SUM(B20+E20+H20+K20)</f>
        <v>1918951</v>
      </c>
      <c r="O20" s="543">
        <f t="shared" si="0"/>
        <v>2054674</v>
      </c>
      <c r="P20" s="543">
        <f t="shared" si="1"/>
        <v>2056818</v>
      </c>
    </row>
    <row r="21" spans="1:16" s="551" customFormat="1" ht="18" customHeight="1">
      <c r="A21" s="544" t="s">
        <v>601</v>
      </c>
      <c r="B21" s="391">
        <f>SUM(B22:B23)</f>
        <v>430000</v>
      </c>
      <c r="C21" s="391">
        <f>SUM(C22:C23)</f>
        <v>498077</v>
      </c>
      <c r="D21" s="391">
        <f>SUM(D22:D23)</f>
        <v>498077</v>
      </c>
      <c r="E21" s="552"/>
      <c r="F21" s="552"/>
      <c r="G21" s="552"/>
      <c r="H21" s="552"/>
      <c r="I21" s="552"/>
      <c r="J21" s="552"/>
      <c r="K21" s="552"/>
      <c r="L21" s="552"/>
      <c r="M21" s="552"/>
      <c r="N21" s="542">
        <f t="shared" si="5"/>
        <v>430000</v>
      </c>
      <c r="O21" s="543">
        <f t="shared" si="0"/>
        <v>498077</v>
      </c>
      <c r="P21" s="543">
        <f t="shared" si="1"/>
        <v>498077</v>
      </c>
    </row>
    <row r="22" spans="1:16" s="551" customFormat="1" ht="18" customHeight="1">
      <c r="A22" s="553" t="s">
        <v>602</v>
      </c>
      <c r="B22" s="550">
        <v>320000</v>
      </c>
      <c r="C22" s="550">
        <v>327580</v>
      </c>
      <c r="D22" s="550">
        <v>327580</v>
      </c>
      <c r="E22" s="550"/>
      <c r="F22" s="550"/>
      <c r="G22" s="550"/>
      <c r="H22" s="550"/>
      <c r="I22" s="550"/>
      <c r="J22" s="550"/>
      <c r="K22" s="550"/>
      <c r="L22" s="550"/>
      <c r="M22" s="550"/>
      <c r="N22" s="542">
        <f t="shared" si="5"/>
        <v>320000</v>
      </c>
      <c r="O22" s="543">
        <f t="shared" si="0"/>
        <v>327580</v>
      </c>
      <c r="P22" s="543">
        <f t="shared" si="1"/>
        <v>327580</v>
      </c>
    </row>
    <row r="23" spans="1:16" s="551" customFormat="1" ht="18" customHeight="1">
      <c r="A23" s="554" t="s">
        <v>603</v>
      </c>
      <c r="B23" s="552">
        <v>110000</v>
      </c>
      <c r="C23" s="552">
        <v>170497</v>
      </c>
      <c r="D23" s="552">
        <v>170497</v>
      </c>
      <c r="E23" s="552"/>
      <c r="F23" s="552"/>
      <c r="G23" s="552"/>
      <c r="H23" s="552"/>
      <c r="I23" s="552"/>
      <c r="J23" s="552"/>
      <c r="K23" s="552"/>
      <c r="L23" s="552"/>
      <c r="M23" s="552"/>
      <c r="N23" s="542">
        <f t="shared" si="5"/>
        <v>110000</v>
      </c>
      <c r="O23" s="543">
        <f t="shared" si="0"/>
        <v>170497</v>
      </c>
      <c r="P23" s="543">
        <f t="shared" si="1"/>
        <v>170497</v>
      </c>
    </row>
    <row r="24" spans="1:16" s="551" customFormat="1" ht="18" customHeight="1">
      <c r="A24" s="544" t="s">
        <v>33</v>
      </c>
      <c r="B24" s="391">
        <f>SUM(B25:B28)</f>
        <v>1468951</v>
      </c>
      <c r="C24" s="391">
        <f>SUM(C25:C28)</f>
        <v>1540998</v>
      </c>
      <c r="D24" s="391">
        <f>SUM(D25:D28)</f>
        <v>1540997</v>
      </c>
      <c r="E24" s="552"/>
      <c r="F24" s="552"/>
      <c r="G24" s="552"/>
      <c r="H24" s="552"/>
      <c r="I24" s="552"/>
      <c r="J24" s="552"/>
      <c r="K24" s="552"/>
      <c r="L24" s="552"/>
      <c r="M24" s="552"/>
      <c r="N24" s="542">
        <f t="shared" si="5"/>
        <v>1468951</v>
      </c>
      <c r="O24" s="543">
        <f t="shared" si="0"/>
        <v>1540998</v>
      </c>
      <c r="P24" s="543">
        <f t="shared" si="1"/>
        <v>1540997</v>
      </c>
    </row>
    <row r="25" spans="1:16" s="551" customFormat="1" ht="18" customHeight="1">
      <c r="A25" s="553" t="s">
        <v>605</v>
      </c>
      <c r="B25" s="552">
        <v>1318951</v>
      </c>
      <c r="C25" s="552">
        <v>1402441</v>
      </c>
      <c r="D25" s="552">
        <v>1402441</v>
      </c>
      <c r="E25" s="552"/>
      <c r="F25" s="552"/>
      <c r="G25" s="552"/>
      <c r="H25" s="552"/>
      <c r="I25" s="552"/>
      <c r="J25" s="552"/>
      <c r="K25" s="552"/>
      <c r="L25" s="552"/>
      <c r="M25" s="552"/>
      <c r="N25" s="542">
        <f t="shared" si="5"/>
        <v>1318951</v>
      </c>
      <c r="O25" s="543">
        <f t="shared" si="0"/>
        <v>1402441</v>
      </c>
      <c r="P25" s="543">
        <f t="shared" si="1"/>
        <v>1402441</v>
      </c>
    </row>
    <row r="26" spans="1:16" s="551" customFormat="1" ht="18" customHeight="1">
      <c r="A26" s="553" t="s">
        <v>606</v>
      </c>
      <c r="B26" s="552">
        <v>110000</v>
      </c>
      <c r="C26" s="552">
        <v>97279</v>
      </c>
      <c r="D26" s="552">
        <v>97279</v>
      </c>
      <c r="E26" s="552"/>
      <c r="F26" s="552"/>
      <c r="G26" s="552"/>
      <c r="H26" s="552"/>
      <c r="I26" s="552"/>
      <c r="J26" s="552"/>
      <c r="K26" s="552"/>
      <c r="L26" s="552"/>
      <c r="M26" s="552"/>
      <c r="N26" s="542">
        <f t="shared" si="5"/>
        <v>110000</v>
      </c>
      <c r="O26" s="543">
        <f t="shared" si="0"/>
        <v>97279</v>
      </c>
      <c r="P26" s="543">
        <f t="shared" si="1"/>
        <v>97279</v>
      </c>
    </row>
    <row r="27" spans="1:16" s="551" customFormat="1" ht="18" customHeight="1">
      <c r="A27" s="553" t="s">
        <v>604</v>
      </c>
      <c r="B27" s="552">
        <v>35000</v>
      </c>
      <c r="C27" s="552">
        <v>37862</v>
      </c>
      <c r="D27" s="552">
        <v>37862</v>
      </c>
      <c r="E27" s="552"/>
      <c r="F27" s="552"/>
      <c r="G27" s="552"/>
      <c r="H27" s="552"/>
      <c r="I27" s="552"/>
      <c r="J27" s="552"/>
      <c r="K27" s="552"/>
      <c r="L27" s="552"/>
      <c r="M27" s="552"/>
      <c r="N27" s="542">
        <f t="shared" si="5"/>
        <v>35000</v>
      </c>
      <c r="O27" s="543">
        <f t="shared" si="0"/>
        <v>37862</v>
      </c>
      <c r="P27" s="543">
        <f t="shared" si="1"/>
        <v>37862</v>
      </c>
    </row>
    <row r="28" spans="1:16" ht="18" customHeight="1">
      <c r="A28" s="553" t="s">
        <v>607</v>
      </c>
      <c r="B28" s="552">
        <v>5000</v>
      </c>
      <c r="C28" s="552">
        <v>3416</v>
      </c>
      <c r="D28" s="552">
        <v>3415</v>
      </c>
      <c r="E28" s="391"/>
      <c r="F28" s="391"/>
      <c r="G28" s="391"/>
      <c r="H28" s="391"/>
      <c r="I28" s="391"/>
      <c r="J28" s="391"/>
      <c r="K28" s="391"/>
      <c r="L28" s="391"/>
      <c r="M28" s="391"/>
      <c r="N28" s="542">
        <f t="shared" si="5"/>
        <v>5000</v>
      </c>
      <c r="O28" s="543">
        <f t="shared" si="0"/>
        <v>3416</v>
      </c>
      <c r="P28" s="543">
        <f t="shared" si="1"/>
        <v>3415</v>
      </c>
    </row>
    <row r="29" spans="1:16" s="551" customFormat="1" ht="18" customHeight="1">
      <c r="A29" s="555" t="s">
        <v>34</v>
      </c>
      <c r="B29" s="391">
        <v>19500</v>
      </c>
      <c r="C29" s="391">
        <v>10420</v>
      </c>
      <c r="D29" s="391">
        <v>10420</v>
      </c>
      <c r="E29" s="391"/>
      <c r="F29" s="391"/>
      <c r="G29" s="391"/>
      <c r="H29" s="391"/>
      <c r="I29" s="391"/>
      <c r="J29" s="391"/>
      <c r="K29" s="391"/>
      <c r="L29" s="391"/>
      <c r="M29" s="391"/>
      <c r="N29" s="542">
        <f t="shared" si="5"/>
        <v>19500</v>
      </c>
      <c r="O29" s="543">
        <f t="shared" si="0"/>
        <v>10420</v>
      </c>
      <c r="P29" s="543">
        <f t="shared" si="1"/>
        <v>10420</v>
      </c>
    </row>
    <row r="30" spans="1:16" s="551" customFormat="1" ht="18" customHeight="1">
      <c r="A30" s="555" t="s">
        <v>35</v>
      </c>
      <c r="B30" s="391">
        <v>500</v>
      </c>
      <c r="C30" s="391">
        <v>4097</v>
      </c>
      <c r="D30" s="391">
        <v>6154</v>
      </c>
      <c r="E30" s="390"/>
      <c r="F30" s="390"/>
      <c r="G30" s="391">
        <v>50</v>
      </c>
      <c r="H30" s="390"/>
      <c r="I30" s="390"/>
      <c r="J30" s="390"/>
      <c r="K30" s="390"/>
      <c r="L30" s="390"/>
      <c r="M30" s="390"/>
      <c r="N30" s="542">
        <f t="shared" si="5"/>
        <v>500</v>
      </c>
      <c r="O30" s="543">
        <f t="shared" si="0"/>
        <v>4097</v>
      </c>
      <c r="P30" s="543">
        <f t="shared" si="1"/>
        <v>6204</v>
      </c>
    </row>
    <row r="31" spans="1:16" s="551" customFormat="1" ht="18" customHeight="1">
      <c r="A31" s="555" t="s">
        <v>1019</v>
      </c>
      <c r="B31" s="391"/>
      <c r="C31" s="391">
        <v>1082</v>
      </c>
      <c r="D31" s="391">
        <v>620</v>
      </c>
      <c r="E31" s="390"/>
      <c r="F31" s="390"/>
      <c r="G31" s="391">
        <v>475</v>
      </c>
      <c r="H31" s="390"/>
      <c r="I31" s="390"/>
      <c r="J31" s="390"/>
      <c r="K31" s="390"/>
      <c r="L31" s="390"/>
      <c r="M31" s="390"/>
      <c r="N31" s="542"/>
      <c r="O31" s="543">
        <f t="shared" si="0"/>
        <v>1082</v>
      </c>
      <c r="P31" s="543">
        <f t="shared" si="1"/>
        <v>1095</v>
      </c>
    </row>
    <row r="32" spans="1:16" s="551" customFormat="1" ht="18" customHeight="1">
      <c r="A32" s="555" t="s">
        <v>1044</v>
      </c>
      <c r="B32" s="391"/>
      <c r="C32" s="391"/>
      <c r="D32" s="391"/>
      <c r="E32" s="390"/>
      <c r="F32" s="390"/>
      <c r="G32" s="391">
        <v>25</v>
      </c>
      <c r="H32" s="390"/>
      <c r="I32" s="390"/>
      <c r="J32" s="390"/>
      <c r="K32" s="390"/>
      <c r="L32" s="390"/>
      <c r="M32" s="390"/>
      <c r="N32" s="542"/>
      <c r="O32" s="543">
        <f t="shared" si="0"/>
        <v>0</v>
      </c>
      <c r="P32" s="543">
        <f t="shared" si="1"/>
        <v>25</v>
      </c>
    </row>
    <row r="33" spans="1:16" ht="18" customHeight="1">
      <c r="A33" s="548" t="s">
        <v>608</v>
      </c>
      <c r="B33" s="390">
        <f aca="true" t="shared" si="6" ref="B33:K33">SUM(B34+B35+B36+B37+B39+B40+B41+B42)</f>
        <v>1000009</v>
      </c>
      <c r="C33" s="390">
        <f>SUM(C34+C35+C36+C37+C39+C40+C41+C42)</f>
        <v>423762</v>
      </c>
      <c r="D33" s="390">
        <f>SUM(D34+D35+D36+D37+D39+D40+D41+D42)</f>
        <v>287266</v>
      </c>
      <c r="E33" s="390">
        <f t="shared" si="6"/>
        <v>6125</v>
      </c>
      <c r="F33" s="390">
        <f>SUM(F34+F35+F36+F37+F39+F40+F41+F42)</f>
        <v>7338</v>
      </c>
      <c r="G33" s="390">
        <f t="shared" si="6"/>
        <v>9405</v>
      </c>
      <c r="H33" s="390">
        <f t="shared" si="6"/>
        <v>191995</v>
      </c>
      <c r="I33" s="390">
        <f>SUM(I34+I35+I36+I37+I39+I40+I41+I42)</f>
        <v>254577</v>
      </c>
      <c r="J33" s="390">
        <f>SUM(J34+J35+J36+J37+J39+J40+J41+J42)</f>
        <v>251269</v>
      </c>
      <c r="K33" s="390">
        <f t="shared" si="6"/>
        <v>26480</v>
      </c>
      <c r="L33" s="390">
        <v>0</v>
      </c>
      <c r="M33" s="390">
        <v>0</v>
      </c>
      <c r="N33" s="542">
        <f aca="true" t="shared" si="7" ref="N33:N44">SUM(B33+E33+H33+K33)</f>
        <v>1224609</v>
      </c>
      <c r="O33" s="543">
        <f t="shared" si="0"/>
        <v>685677</v>
      </c>
      <c r="P33" s="543">
        <f t="shared" si="1"/>
        <v>547940</v>
      </c>
    </row>
    <row r="34" spans="1:16" ht="18" customHeight="1">
      <c r="A34" s="544" t="s">
        <v>184</v>
      </c>
      <c r="B34" s="391">
        <v>521842</v>
      </c>
      <c r="C34" s="391">
        <v>198561</v>
      </c>
      <c r="D34" s="391">
        <v>57810</v>
      </c>
      <c r="E34" s="391"/>
      <c r="F34" s="391"/>
      <c r="G34" s="391"/>
      <c r="H34" s="391"/>
      <c r="I34" s="391"/>
      <c r="J34" s="391">
        <v>2680</v>
      </c>
      <c r="K34" s="391">
        <v>2000</v>
      </c>
      <c r="L34" s="391">
        <v>0</v>
      </c>
      <c r="M34" s="391">
        <v>0</v>
      </c>
      <c r="N34" s="542">
        <f t="shared" si="7"/>
        <v>523842</v>
      </c>
      <c r="O34" s="543">
        <f t="shared" si="0"/>
        <v>198561</v>
      </c>
      <c r="P34" s="543">
        <f t="shared" si="1"/>
        <v>60490</v>
      </c>
    </row>
    <row r="35" spans="1:16" ht="18" customHeight="1">
      <c r="A35" s="544" t="s">
        <v>505</v>
      </c>
      <c r="B35" s="391">
        <v>21082</v>
      </c>
      <c r="C35" s="391">
        <v>7415</v>
      </c>
      <c r="D35" s="391">
        <v>7966</v>
      </c>
      <c r="E35" s="391">
        <v>6125</v>
      </c>
      <c r="F35" s="391">
        <v>6060</v>
      </c>
      <c r="G35" s="391">
        <v>7599</v>
      </c>
      <c r="H35" s="391">
        <v>53055</v>
      </c>
      <c r="I35" s="391">
        <v>93764</v>
      </c>
      <c r="J35" s="391">
        <v>89164</v>
      </c>
      <c r="K35" s="391">
        <v>10378</v>
      </c>
      <c r="L35" s="391">
        <v>0</v>
      </c>
      <c r="M35" s="391">
        <v>0</v>
      </c>
      <c r="N35" s="542">
        <f t="shared" si="7"/>
        <v>90640</v>
      </c>
      <c r="O35" s="543">
        <f t="shared" si="0"/>
        <v>107239</v>
      </c>
      <c r="P35" s="543">
        <f t="shared" si="1"/>
        <v>104729</v>
      </c>
    </row>
    <row r="36" spans="1:16" ht="18" customHeight="1">
      <c r="A36" s="544" t="s">
        <v>36</v>
      </c>
      <c r="B36" s="391">
        <v>32100</v>
      </c>
      <c r="C36" s="391">
        <v>28639</v>
      </c>
      <c r="D36" s="391">
        <v>28639</v>
      </c>
      <c r="E36" s="391"/>
      <c r="F36" s="391">
        <v>964</v>
      </c>
      <c r="G36" s="391">
        <v>1414</v>
      </c>
      <c r="H36" s="391"/>
      <c r="I36" s="391"/>
      <c r="J36" s="391">
        <v>831</v>
      </c>
      <c r="K36" s="391"/>
      <c r="L36" s="391"/>
      <c r="M36" s="391"/>
      <c r="N36" s="542">
        <f t="shared" si="7"/>
        <v>32100</v>
      </c>
      <c r="O36" s="543">
        <f t="shared" si="0"/>
        <v>29603</v>
      </c>
      <c r="P36" s="543">
        <f t="shared" si="1"/>
        <v>30884</v>
      </c>
    </row>
    <row r="37" spans="1:16" ht="18" customHeight="1">
      <c r="A37" s="544" t="s">
        <v>37</v>
      </c>
      <c r="B37" s="391">
        <v>101169</v>
      </c>
      <c r="C37" s="391">
        <v>120887</v>
      </c>
      <c r="D37" s="391">
        <v>120551</v>
      </c>
      <c r="E37" s="391"/>
      <c r="F37" s="391"/>
      <c r="G37" s="391"/>
      <c r="H37" s="391"/>
      <c r="I37" s="391"/>
      <c r="J37" s="391"/>
      <c r="K37" s="391"/>
      <c r="L37" s="391"/>
      <c r="M37" s="391"/>
      <c r="N37" s="542">
        <f t="shared" si="7"/>
        <v>101169</v>
      </c>
      <c r="O37" s="543">
        <f t="shared" si="0"/>
        <v>120887</v>
      </c>
      <c r="P37" s="543">
        <f t="shared" si="1"/>
        <v>120551</v>
      </c>
    </row>
    <row r="38" spans="1:16" ht="18" customHeight="1">
      <c r="A38" s="544" t="s">
        <v>609</v>
      </c>
      <c r="B38" s="391">
        <v>45000</v>
      </c>
      <c r="C38" s="391">
        <v>54528</v>
      </c>
      <c r="D38" s="391">
        <v>54528</v>
      </c>
      <c r="E38" s="391"/>
      <c r="F38" s="391"/>
      <c r="G38" s="391"/>
      <c r="H38" s="391"/>
      <c r="I38" s="391"/>
      <c r="J38" s="391"/>
      <c r="K38" s="391"/>
      <c r="L38" s="391"/>
      <c r="M38" s="391"/>
      <c r="N38" s="542">
        <f t="shared" si="7"/>
        <v>45000</v>
      </c>
      <c r="O38" s="543">
        <f t="shared" si="0"/>
        <v>54528</v>
      </c>
      <c r="P38" s="543">
        <f t="shared" si="1"/>
        <v>54528</v>
      </c>
    </row>
    <row r="39" spans="1:16" ht="18" customHeight="1">
      <c r="A39" s="544" t="s">
        <v>610</v>
      </c>
      <c r="B39" s="391"/>
      <c r="C39" s="391"/>
      <c r="D39" s="391"/>
      <c r="E39" s="391"/>
      <c r="F39" s="391"/>
      <c r="G39" s="391"/>
      <c r="H39" s="391">
        <v>92312</v>
      </c>
      <c r="I39" s="391">
        <v>93662</v>
      </c>
      <c r="J39" s="391">
        <v>92190</v>
      </c>
      <c r="K39" s="391"/>
      <c r="L39" s="391"/>
      <c r="M39" s="391"/>
      <c r="N39" s="542">
        <f t="shared" si="7"/>
        <v>92312</v>
      </c>
      <c r="O39" s="543">
        <f t="shared" si="0"/>
        <v>93662</v>
      </c>
      <c r="P39" s="543">
        <f t="shared" si="1"/>
        <v>92190</v>
      </c>
    </row>
    <row r="40" spans="1:16" ht="18" customHeight="1">
      <c r="A40" s="556" t="s">
        <v>151</v>
      </c>
      <c r="B40" s="391">
        <v>176746</v>
      </c>
      <c r="C40" s="391">
        <v>64340</v>
      </c>
      <c r="D40" s="391">
        <v>63319</v>
      </c>
      <c r="E40" s="391"/>
      <c r="F40" s="391"/>
      <c r="G40" s="391"/>
      <c r="H40" s="391">
        <v>46628</v>
      </c>
      <c r="I40" s="391">
        <v>66932</v>
      </c>
      <c r="J40" s="391">
        <v>66245</v>
      </c>
      <c r="K40" s="391">
        <v>14102</v>
      </c>
      <c r="L40" s="391">
        <v>0</v>
      </c>
      <c r="M40" s="391">
        <v>0</v>
      </c>
      <c r="N40" s="542">
        <f t="shared" si="7"/>
        <v>237476</v>
      </c>
      <c r="O40" s="543">
        <f t="shared" si="0"/>
        <v>131272</v>
      </c>
      <c r="P40" s="543">
        <f aca="true" t="shared" si="8" ref="P40:P64">SUM(D40+G40+J40+M40)</f>
        <v>129564</v>
      </c>
    </row>
    <row r="41" spans="1:16" s="540" customFormat="1" ht="18" customHeight="1">
      <c r="A41" s="544" t="s">
        <v>611</v>
      </c>
      <c r="B41" s="391">
        <v>16766</v>
      </c>
      <c r="C41" s="391">
        <v>3520</v>
      </c>
      <c r="D41" s="391">
        <v>1614</v>
      </c>
      <c r="E41" s="390"/>
      <c r="F41" s="391">
        <v>50</v>
      </c>
      <c r="G41" s="391">
        <v>48</v>
      </c>
      <c r="H41" s="390"/>
      <c r="I41" s="391">
        <v>219</v>
      </c>
      <c r="J41" s="391">
        <v>159</v>
      </c>
      <c r="K41" s="390"/>
      <c r="L41" s="390"/>
      <c r="M41" s="390"/>
      <c r="N41" s="542">
        <f t="shared" si="7"/>
        <v>16766</v>
      </c>
      <c r="O41" s="543">
        <f t="shared" si="0"/>
        <v>3789</v>
      </c>
      <c r="P41" s="543">
        <f t="shared" si="8"/>
        <v>1821</v>
      </c>
    </row>
    <row r="42" spans="1:16" ht="18" customHeight="1">
      <c r="A42" s="544" t="s">
        <v>134</v>
      </c>
      <c r="B42" s="391">
        <v>130304</v>
      </c>
      <c r="C42" s="391">
        <v>400</v>
      </c>
      <c r="D42" s="391">
        <v>7367</v>
      </c>
      <c r="E42" s="391"/>
      <c r="F42" s="391">
        <v>264</v>
      </c>
      <c r="G42" s="391">
        <v>344</v>
      </c>
      <c r="H42" s="391"/>
      <c r="I42" s="391"/>
      <c r="J42" s="391"/>
      <c r="K42" s="391"/>
      <c r="L42" s="391"/>
      <c r="M42" s="391"/>
      <c r="N42" s="542">
        <f t="shared" si="7"/>
        <v>130304</v>
      </c>
      <c r="O42" s="543">
        <f t="shared" si="0"/>
        <v>664</v>
      </c>
      <c r="P42" s="543">
        <f t="shared" si="8"/>
        <v>7711</v>
      </c>
    </row>
    <row r="43" spans="1:16" ht="18" customHeight="1">
      <c r="A43" s="549" t="s">
        <v>612</v>
      </c>
      <c r="B43" s="390">
        <f>SUM(B44:B44)</f>
        <v>191090</v>
      </c>
      <c r="C43" s="390">
        <f>SUM(C44:C46)</f>
        <v>241830</v>
      </c>
      <c r="D43" s="390">
        <f>SUM(D44:D46)</f>
        <v>241830</v>
      </c>
      <c r="E43" s="390">
        <f>SUM(E44:E44)</f>
        <v>0</v>
      </c>
      <c r="F43" s="390"/>
      <c r="G43" s="390"/>
      <c r="H43" s="390">
        <f>SUM(H44:H44)</f>
        <v>0</v>
      </c>
      <c r="I43" s="390"/>
      <c r="J43" s="390"/>
      <c r="K43" s="390">
        <f>SUM(K44:K44)</f>
        <v>0</v>
      </c>
      <c r="L43" s="390">
        <v>0</v>
      </c>
      <c r="M43" s="390">
        <v>0</v>
      </c>
      <c r="N43" s="542">
        <f t="shared" si="7"/>
        <v>191090</v>
      </c>
      <c r="O43" s="543">
        <f t="shared" si="0"/>
        <v>241830</v>
      </c>
      <c r="P43" s="543">
        <f t="shared" si="8"/>
        <v>241830</v>
      </c>
    </row>
    <row r="44" spans="1:16" s="540" customFormat="1" ht="18" customHeight="1">
      <c r="A44" s="544" t="s">
        <v>135</v>
      </c>
      <c r="B44" s="391">
        <v>191090</v>
      </c>
      <c r="C44" s="391">
        <v>241570</v>
      </c>
      <c r="D44" s="391">
        <v>241570</v>
      </c>
      <c r="E44" s="390"/>
      <c r="F44" s="390"/>
      <c r="G44" s="390"/>
      <c r="H44" s="390"/>
      <c r="I44" s="390"/>
      <c r="J44" s="390"/>
      <c r="K44" s="390"/>
      <c r="L44" s="390"/>
      <c r="M44" s="390"/>
      <c r="N44" s="542">
        <f t="shared" si="7"/>
        <v>191090</v>
      </c>
      <c r="O44" s="543">
        <f t="shared" si="0"/>
        <v>241570</v>
      </c>
      <c r="P44" s="543">
        <f t="shared" si="8"/>
        <v>241570</v>
      </c>
    </row>
    <row r="45" spans="1:16" s="540" customFormat="1" ht="18" customHeight="1">
      <c r="A45" s="544" t="s">
        <v>740</v>
      </c>
      <c r="B45" s="391"/>
      <c r="C45" s="391">
        <v>10</v>
      </c>
      <c r="D45" s="391">
        <v>10</v>
      </c>
      <c r="E45" s="390"/>
      <c r="F45" s="390"/>
      <c r="G45" s="390"/>
      <c r="H45" s="390"/>
      <c r="I45" s="390"/>
      <c r="J45" s="390"/>
      <c r="K45" s="390"/>
      <c r="L45" s="390"/>
      <c r="M45" s="390"/>
      <c r="N45" s="542"/>
      <c r="O45" s="543">
        <f t="shared" si="0"/>
        <v>10</v>
      </c>
      <c r="P45" s="543">
        <f t="shared" si="8"/>
        <v>10</v>
      </c>
    </row>
    <row r="46" spans="1:16" s="540" customFormat="1" ht="18" customHeight="1">
      <c r="A46" s="544" t="s">
        <v>741</v>
      </c>
      <c r="B46" s="391"/>
      <c r="C46" s="391">
        <v>250</v>
      </c>
      <c r="D46" s="391">
        <v>250</v>
      </c>
      <c r="E46" s="390"/>
      <c r="F46" s="390"/>
      <c r="G46" s="390"/>
      <c r="H46" s="390"/>
      <c r="I46" s="390"/>
      <c r="J46" s="390"/>
      <c r="K46" s="390"/>
      <c r="L46" s="390"/>
      <c r="M46" s="390"/>
      <c r="N46" s="542"/>
      <c r="O46" s="543">
        <f t="shared" si="0"/>
        <v>250</v>
      </c>
      <c r="P46" s="543">
        <f t="shared" si="8"/>
        <v>250</v>
      </c>
    </row>
    <row r="47" spans="1:16" s="540" customFormat="1" ht="18" customHeight="1">
      <c r="A47" s="549" t="s">
        <v>709</v>
      </c>
      <c r="B47" s="391"/>
      <c r="C47" s="390">
        <f>SUM(C48:C49)</f>
        <v>21529</v>
      </c>
      <c r="D47" s="390">
        <f>SUM(D48:D49)</f>
        <v>18829</v>
      </c>
      <c r="E47" s="390"/>
      <c r="F47" s="390"/>
      <c r="G47" s="390"/>
      <c r="H47" s="390"/>
      <c r="I47" s="390">
        <f>SUM(I48:I49)</f>
        <v>5508</v>
      </c>
      <c r="J47" s="390">
        <f>SUM(J48:J49)</f>
        <v>4831</v>
      </c>
      <c r="K47" s="390"/>
      <c r="L47" s="390"/>
      <c r="M47" s="390"/>
      <c r="N47" s="542"/>
      <c r="O47" s="543">
        <f t="shared" si="0"/>
        <v>27037</v>
      </c>
      <c r="P47" s="543">
        <f t="shared" si="8"/>
        <v>23660</v>
      </c>
    </row>
    <row r="48" spans="1:16" s="540" customFormat="1" ht="18" customHeight="1">
      <c r="A48" s="544" t="s">
        <v>590</v>
      </c>
      <c r="B48" s="391"/>
      <c r="C48" s="391">
        <v>17000</v>
      </c>
      <c r="D48" s="391">
        <v>17000</v>
      </c>
      <c r="E48" s="390"/>
      <c r="F48" s="390"/>
      <c r="G48" s="390"/>
      <c r="H48" s="390"/>
      <c r="I48" s="390"/>
      <c r="J48" s="390"/>
      <c r="K48" s="390"/>
      <c r="L48" s="390"/>
      <c r="M48" s="390"/>
      <c r="N48" s="542"/>
      <c r="O48" s="543">
        <f t="shared" si="0"/>
        <v>17000</v>
      </c>
      <c r="P48" s="543">
        <f t="shared" si="8"/>
        <v>17000</v>
      </c>
    </row>
    <row r="49" spans="1:16" s="540" customFormat="1" ht="18" customHeight="1">
      <c r="A49" s="544" t="s">
        <v>591</v>
      </c>
      <c r="B49" s="391"/>
      <c r="C49" s="391">
        <v>4529</v>
      </c>
      <c r="D49" s="391">
        <v>1829</v>
      </c>
      <c r="E49" s="390"/>
      <c r="F49" s="390"/>
      <c r="G49" s="390"/>
      <c r="H49" s="390"/>
      <c r="I49" s="391">
        <v>5508</v>
      </c>
      <c r="J49" s="391">
        <v>4831</v>
      </c>
      <c r="K49" s="390"/>
      <c r="L49" s="390"/>
      <c r="M49" s="390"/>
      <c r="N49" s="542"/>
      <c r="O49" s="543">
        <f t="shared" si="0"/>
        <v>10037</v>
      </c>
      <c r="P49" s="543">
        <f t="shared" si="8"/>
        <v>6660</v>
      </c>
    </row>
    <row r="50" spans="1:16" ht="18" customHeight="1">
      <c r="A50" s="557" t="s">
        <v>710</v>
      </c>
      <c r="B50" s="390">
        <f>SUM(B51:B51)</f>
        <v>28075</v>
      </c>
      <c r="C50" s="390">
        <f>SUM(C51:C53)</f>
        <v>33463</v>
      </c>
      <c r="D50" s="390">
        <f>SUM(D51:D53)</f>
        <v>33463</v>
      </c>
      <c r="E50" s="390">
        <f>SUM(E51:E51)</f>
        <v>0</v>
      </c>
      <c r="F50" s="390">
        <f>SUM(F51:F52)</f>
        <v>990</v>
      </c>
      <c r="G50" s="390">
        <f>SUM(G51:G52)</f>
        <v>1204</v>
      </c>
      <c r="H50" s="390">
        <f>SUM(H51:H51)</f>
        <v>0</v>
      </c>
      <c r="I50" s="390">
        <f>SUM(I51:I53)</f>
        <v>1800</v>
      </c>
      <c r="J50" s="390">
        <f>SUM(J51:J53)</f>
        <v>1198</v>
      </c>
      <c r="K50" s="390">
        <f>SUM(K51:K51)</f>
        <v>0</v>
      </c>
      <c r="L50" s="390">
        <v>0</v>
      </c>
      <c r="M50" s="390">
        <v>0</v>
      </c>
      <c r="N50" s="542">
        <f>SUM(B50+E50+H50+K50)</f>
        <v>28075</v>
      </c>
      <c r="O50" s="543">
        <f t="shared" si="0"/>
        <v>36253</v>
      </c>
      <c r="P50" s="543">
        <f t="shared" si="8"/>
        <v>35865</v>
      </c>
    </row>
    <row r="51" spans="1:16" s="551" customFormat="1" ht="18" customHeight="1">
      <c r="A51" s="558" t="s">
        <v>38</v>
      </c>
      <c r="B51" s="391">
        <v>28075</v>
      </c>
      <c r="C51" s="391">
        <v>1000</v>
      </c>
      <c r="D51" s="391">
        <v>1000</v>
      </c>
      <c r="E51" s="552"/>
      <c r="F51" s="552"/>
      <c r="G51" s="552"/>
      <c r="H51" s="552"/>
      <c r="I51" s="552"/>
      <c r="J51" s="552"/>
      <c r="K51" s="552"/>
      <c r="L51" s="552"/>
      <c r="M51" s="552"/>
      <c r="N51" s="542">
        <f>SUM(B51+E51+H51+K51)</f>
        <v>28075</v>
      </c>
      <c r="O51" s="543">
        <f t="shared" si="0"/>
        <v>1000</v>
      </c>
      <c r="P51" s="543">
        <f t="shared" si="8"/>
        <v>1000</v>
      </c>
    </row>
    <row r="52" spans="1:16" s="551" customFormat="1" ht="18" customHeight="1">
      <c r="A52" s="558" t="s">
        <v>590</v>
      </c>
      <c r="B52" s="391"/>
      <c r="C52" s="391">
        <v>26804</v>
      </c>
      <c r="D52" s="391">
        <v>26804</v>
      </c>
      <c r="E52" s="552"/>
      <c r="F52" s="552">
        <v>990</v>
      </c>
      <c r="G52" s="552">
        <v>1204</v>
      </c>
      <c r="H52" s="552"/>
      <c r="I52" s="552"/>
      <c r="J52" s="552"/>
      <c r="K52" s="552"/>
      <c r="L52" s="552"/>
      <c r="M52" s="552"/>
      <c r="N52" s="542"/>
      <c r="O52" s="543">
        <f t="shared" si="0"/>
        <v>27794</v>
      </c>
      <c r="P52" s="543">
        <f t="shared" si="8"/>
        <v>28008</v>
      </c>
    </row>
    <row r="53" spans="1:16" s="551" customFormat="1" ht="18" customHeight="1">
      <c r="A53" s="558" t="s">
        <v>591</v>
      </c>
      <c r="B53" s="391"/>
      <c r="C53" s="391">
        <v>5659</v>
      </c>
      <c r="D53" s="391">
        <v>5659</v>
      </c>
      <c r="E53" s="552"/>
      <c r="F53" s="552"/>
      <c r="G53" s="552"/>
      <c r="H53" s="552"/>
      <c r="I53" s="552">
        <v>1800</v>
      </c>
      <c r="J53" s="552">
        <v>1198</v>
      </c>
      <c r="K53" s="552"/>
      <c r="L53" s="552"/>
      <c r="M53" s="552"/>
      <c r="N53" s="542"/>
      <c r="O53" s="543">
        <f t="shared" si="0"/>
        <v>7459</v>
      </c>
      <c r="P53" s="543">
        <f t="shared" si="8"/>
        <v>6857</v>
      </c>
    </row>
    <row r="54" spans="1:16" s="551" customFormat="1" ht="18" customHeight="1">
      <c r="A54" s="557" t="s">
        <v>615</v>
      </c>
      <c r="B54" s="390">
        <f>SUM(B6+B10+B14+B20+B33+B43+B50)</f>
        <v>6114785</v>
      </c>
      <c r="C54" s="390">
        <f>SUM(C6+C10+C14+C20+C33+C43+C50+C47+C17)</f>
        <v>5673594</v>
      </c>
      <c r="D54" s="390">
        <f>SUM(D6+D10+D14+D20+D33+D43+D50+D47+D17)</f>
        <v>5505865</v>
      </c>
      <c r="E54" s="390">
        <f>SUM(E6+E10+E14+E20+E33+E43+E50)</f>
        <v>42213</v>
      </c>
      <c r="F54" s="390">
        <f>SUM(F6+F10+F14+F20+F33+F43+F50)</f>
        <v>45342</v>
      </c>
      <c r="G54" s="390">
        <f>SUM(G6+G10+G14+G20+G33+G43+G50)</f>
        <v>46893</v>
      </c>
      <c r="H54" s="390">
        <f>SUM(H6+H10+H14+H20+H33+H43+H50)</f>
        <v>303205</v>
      </c>
      <c r="I54" s="390">
        <f>SUM(I6+I10+I14+I20+I33+I43+I50+I52+I47)</f>
        <v>392382</v>
      </c>
      <c r="J54" s="390">
        <f>SUM(J6+J10+J14+J20+J33+J43+J50+J52+J47)</f>
        <v>386557</v>
      </c>
      <c r="K54" s="390">
        <f>SUM(K6+K10+K14+K20+K33+K43+K50)</f>
        <v>37680</v>
      </c>
      <c r="L54" s="390">
        <v>0</v>
      </c>
      <c r="M54" s="390">
        <v>0</v>
      </c>
      <c r="N54" s="542">
        <f>SUM(B54+E54+H54+K54)</f>
        <v>6497883</v>
      </c>
      <c r="O54" s="543">
        <f t="shared" si="0"/>
        <v>6111318</v>
      </c>
      <c r="P54" s="543">
        <f t="shared" si="8"/>
        <v>5939315</v>
      </c>
    </row>
    <row r="55" spans="1:16" s="547" customFormat="1" ht="21" customHeight="1">
      <c r="A55" s="559" t="s">
        <v>651</v>
      </c>
      <c r="B55" s="390">
        <f>SUM(B56:B56)</f>
        <v>709262</v>
      </c>
      <c r="C55" s="390">
        <f>SUM(C56:C58)</f>
        <v>821279</v>
      </c>
      <c r="D55" s="390">
        <f>SUM(D56:D58)</f>
        <v>821278</v>
      </c>
      <c r="E55" s="390">
        <f>SUM(E56:E56)</f>
        <v>0</v>
      </c>
      <c r="F55" s="390"/>
      <c r="G55" s="390"/>
      <c r="H55" s="390">
        <f>SUM(H56:H56)</f>
        <v>0</v>
      </c>
      <c r="I55" s="390"/>
      <c r="J55" s="390"/>
      <c r="K55" s="390">
        <f>SUM(K56:K56)</f>
        <v>0</v>
      </c>
      <c r="L55" s="390">
        <v>0</v>
      </c>
      <c r="M55" s="390">
        <v>0</v>
      </c>
      <c r="N55" s="542">
        <f>SUM(B55+E55+H55+K55)</f>
        <v>709262</v>
      </c>
      <c r="O55" s="543">
        <f t="shared" si="0"/>
        <v>821279</v>
      </c>
      <c r="P55" s="543">
        <f t="shared" si="8"/>
        <v>821278</v>
      </c>
    </row>
    <row r="56" spans="1:16" s="540" customFormat="1" ht="18" customHeight="1">
      <c r="A56" s="560" t="s">
        <v>653</v>
      </c>
      <c r="B56" s="391">
        <v>709262</v>
      </c>
      <c r="C56" s="391">
        <v>614775</v>
      </c>
      <c r="D56" s="391">
        <v>614775</v>
      </c>
      <c r="E56" s="390"/>
      <c r="F56" s="390"/>
      <c r="G56" s="390"/>
      <c r="H56" s="390"/>
      <c r="I56" s="390"/>
      <c r="J56" s="390"/>
      <c r="K56" s="390"/>
      <c r="L56" s="390"/>
      <c r="M56" s="390"/>
      <c r="N56" s="542">
        <f>SUM(B56+E56+H56+K56)</f>
        <v>709262</v>
      </c>
      <c r="O56" s="543">
        <f t="shared" si="0"/>
        <v>614775</v>
      </c>
      <c r="P56" s="543">
        <f t="shared" si="8"/>
        <v>614775</v>
      </c>
    </row>
    <row r="57" spans="1:16" s="540" customFormat="1" ht="18" customHeight="1">
      <c r="A57" s="561" t="s">
        <v>771</v>
      </c>
      <c r="B57" s="391"/>
      <c r="C57" s="376">
        <v>166394</v>
      </c>
      <c r="D57" s="376">
        <v>166394</v>
      </c>
      <c r="E57" s="390"/>
      <c r="F57" s="390"/>
      <c r="G57" s="390"/>
      <c r="H57" s="390"/>
      <c r="I57" s="390"/>
      <c r="J57" s="390"/>
      <c r="K57" s="390"/>
      <c r="L57" s="390"/>
      <c r="M57" s="390"/>
      <c r="N57" s="542"/>
      <c r="O57" s="543">
        <f t="shared" si="0"/>
        <v>166394</v>
      </c>
      <c r="P57" s="543">
        <f t="shared" si="8"/>
        <v>166394</v>
      </c>
    </row>
    <row r="58" spans="1:16" s="540" customFormat="1" ht="18" customHeight="1">
      <c r="A58" s="560" t="s">
        <v>1020</v>
      </c>
      <c r="B58" s="391"/>
      <c r="C58" s="391">
        <v>40110</v>
      </c>
      <c r="D58" s="391">
        <v>40109</v>
      </c>
      <c r="E58" s="390"/>
      <c r="F58" s="390"/>
      <c r="G58" s="390"/>
      <c r="H58" s="390"/>
      <c r="I58" s="390"/>
      <c r="J58" s="390"/>
      <c r="K58" s="390"/>
      <c r="L58" s="390"/>
      <c r="M58" s="390"/>
      <c r="N58" s="542"/>
      <c r="O58" s="543">
        <f t="shared" si="0"/>
        <v>40110</v>
      </c>
      <c r="P58" s="543">
        <f t="shared" si="8"/>
        <v>40109</v>
      </c>
    </row>
    <row r="59" spans="1:16" s="540" customFormat="1" ht="18" customHeight="1">
      <c r="A59" s="559" t="s">
        <v>742</v>
      </c>
      <c r="B59" s="391"/>
      <c r="C59" s="391">
        <v>696366</v>
      </c>
      <c r="D59" s="391">
        <v>696366</v>
      </c>
      <c r="E59" s="390"/>
      <c r="F59" s="390"/>
      <c r="G59" s="390"/>
      <c r="H59" s="390"/>
      <c r="I59" s="390"/>
      <c r="J59" s="390"/>
      <c r="K59" s="390"/>
      <c r="L59" s="390"/>
      <c r="M59" s="390"/>
      <c r="N59" s="542"/>
      <c r="O59" s="543">
        <f t="shared" si="0"/>
        <v>696366</v>
      </c>
      <c r="P59" s="543">
        <f t="shared" si="8"/>
        <v>696366</v>
      </c>
    </row>
    <row r="60" spans="1:16" ht="18.75">
      <c r="A60" s="557" t="s">
        <v>616</v>
      </c>
      <c r="B60" s="391">
        <v>100000</v>
      </c>
      <c r="C60" s="391">
        <v>81606</v>
      </c>
      <c r="D60" s="391">
        <v>81606</v>
      </c>
      <c r="E60" s="391"/>
      <c r="F60" s="391">
        <v>3010</v>
      </c>
      <c r="G60" s="391">
        <v>3010</v>
      </c>
      <c r="H60" s="391"/>
      <c r="I60" s="391">
        <v>68749</v>
      </c>
      <c r="J60" s="391">
        <v>68749</v>
      </c>
      <c r="K60" s="391"/>
      <c r="L60" s="391"/>
      <c r="M60" s="391"/>
      <c r="N60" s="542">
        <f>SUM(B60+E60+H60+K60)</f>
        <v>100000</v>
      </c>
      <c r="O60" s="543">
        <f t="shared" si="0"/>
        <v>153365</v>
      </c>
      <c r="P60" s="543">
        <f t="shared" si="8"/>
        <v>153365</v>
      </c>
    </row>
    <row r="61" spans="1:16" ht="18.75">
      <c r="A61" s="557" t="s">
        <v>617</v>
      </c>
      <c r="B61" s="391"/>
      <c r="C61" s="391"/>
      <c r="D61" s="391"/>
      <c r="E61" s="391">
        <v>658320</v>
      </c>
      <c r="F61" s="391">
        <v>633794</v>
      </c>
      <c r="G61" s="391">
        <v>611840</v>
      </c>
      <c r="H61" s="391">
        <v>852082</v>
      </c>
      <c r="I61" s="391">
        <v>973097</v>
      </c>
      <c r="J61" s="391">
        <v>969315</v>
      </c>
      <c r="K61" s="391">
        <v>145814</v>
      </c>
      <c r="L61" s="391">
        <v>0</v>
      </c>
      <c r="M61" s="391">
        <v>0</v>
      </c>
      <c r="N61" s="542">
        <f>SUM(B61+E61+H61+K61)</f>
        <v>1656216</v>
      </c>
      <c r="O61" s="543">
        <f t="shared" si="0"/>
        <v>1606891</v>
      </c>
      <c r="P61" s="543">
        <f t="shared" si="8"/>
        <v>1581155</v>
      </c>
    </row>
    <row r="62" spans="1:16" ht="18.75">
      <c r="A62" s="557" t="s">
        <v>693</v>
      </c>
      <c r="B62" s="391"/>
      <c r="C62" s="390">
        <v>1500000</v>
      </c>
      <c r="D62" s="390">
        <v>1500000</v>
      </c>
      <c r="E62" s="391"/>
      <c r="F62" s="391"/>
      <c r="G62" s="391"/>
      <c r="H62" s="391"/>
      <c r="I62" s="391"/>
      <c r="J62" s="391"/>
      <c r="K62" s="391"/>
      <c r="L62" s="391"/>
      <c r="M62" s="391"/>
      <c r="N62" s="542"/>
      <c r="O62" s="543">
        <f t="shared" si="0"/>
        <v>1500000</v>
      </c>
      <c r="P62" s="543">
        <f t="shared" si="8"/>
        <v>1500000</v>
      </c>
    </row>
    <row r="63" spans="1:16" ht="21.75" customHeight="1">
      <c r="A63" s="562" t="s">
        <v>618</v>
      </c>
      <c r="B63" s="390">
        <f>SUM(B55+B60+B61)</f>
        <v>809262</v>
      </c>
      <c r="C63" s="390">
        <f>SUM(C55+C60+C61+C62+C59)</f>
        <v>3099251</v>
      </c>
      <c r="D63" s="390">
        <f>SUM(D55+D60+D61+D62+D59)</f>
        <v>3099250</v>
      </c>
      <c r="E63" s="390">
        <f aca="true" t="shared" si="9" ref="E63:K63">SUM(E55+E60+E61)</f>
        <v>658320</v>
      </c>
      <c r="F63" s="390">
        <f>SUM(F55+F60+F61)</f>
        <v>636804</v>
      </c>
      <c r="G63" s="390">
        <f t="shared" si="9"/>
        <v>614850</v>
      </c>
      <c r="H63" s="390">
        <f t="shared" si="9"/>
        <v>852082</v>
      </c>
      <c r="I63" s="390">
        <f>SUM(I55+I60+I61)</f>
        <v>1041846</v>
      </c>
      <c r="J63" s="390">
        <f t="shared" si="9"/>
        <v>1038064</v>
      </c>
      <c r="K63" s="390">
        <f t="shared" si="9"/>
        <v>145814</v>
      </c>
      <c r="L63" s="390">
        <v>0</v>
      </c>
      <c r="M63" s="390">
        <v>0</v>
      </c>
      <c r="N63" s="542">
        <f>SUM(B63+E63+H63+K63)</f>
        <v>2465478</v>
      </c>
      <c r="O63" s="543">
        <f t="shared" si="0"/>
        <v>4777901</v>
      </c>
      <c r="P63" s="543">
        <f t="shared" si="8"/>
        <v>4752164</v>
      </c>
    </row>
    <row r="64" spans="1:16" s="540" customFormat="1" ht="24.75" customHeight="1" thickBot="1">
      <c r="A64" s="563" t="s">
        <v>619</v>
      </c>
      <c r="B64" s="564">
        <f aca="true" t="shared" si="10" ref="B64:K64">SUM(B54+B63)</f>
        <v>6924047</v>
      </c>
      <c r="C64" s="564">
        <f>SUM(C54+C63)</f>
        <v>8772845</v>
      </c>
      <c r="D64" s="564">
        <f t="shared" si="10"/>
        <v>8605115</v>
      </c>
      <c r="E64" s="564">
        <f t="shared" si="10"/>
        <v>700533</v>
      </c>
      <c r="F64" s="564">
        <f>SUM(F54+F63)</f>
        <v>682146</v>
      </c>
      <c r="G64" s="564">
        <f t="shared" si="10"/>
        <v>661743</v>
      </c>
      <c r="H64" s="564">
        <f t="shared" si="10"/>
        <v>1155287</v>
      </c>
      <c r="I64" s="564">
        <f>SUM(I54+I63)</f>
        <v>1434228</v>
      </c>
      <c r="J64" s="564">
        <f t="shared" si="10"/>
        <v>1424621</v>
      </c>
      <c r="K64" s="564">
        <f t="shared" si="10"/>
        <v>183494</v>
      </c>
      <c r="L64" s="564">
        <v>0</v>
      </c>
      <c r="M64" s="564">
        <v>0</v>
      </c>
      <c r="N64" s="565">
        <f>SUM(B64+E64+H64+K64)</f>
        <v>8963361</v>
      </c>
      <c r="O64" s="543">
        <f t="shared" si="0"/>
        <v>10889219</v>
      </c>
      <c r="P64" s="566">
        <f t="shared" si="8"/>
        <v>10691479</v>
      </c>
    </row>
    <row r="65" ht="18.75">
      <c r="N65" s="389"/>
    </row>
  </sheetData>
  <sheetProtection/>
  <mergeCells count="7">
    <mergeCell ref="A2:P2"/>
    <mergeCell ref="K4:M4"/>
    <mergeCell ref="N4:P4"/>
    <mergeCell ref="A4:A5"/>
    <mergeCell ref="B4:D4"/>
    <mergeCell ref="E4:G4"/>
    <mergeCell ref="H4:J4"/>
  </mergeCells>
  <printOptions horizontalCentered="1"/>
  <pageMargins left="0.3937007874015748" right="0.5905511811023623" top="0.4724409448818898" bottom="0.2362204724409449" header="0.2362204724409449" footer="0.15748031496062992"/>
  <pageSetup fitToHeight="1" fitToWidth="1" horizontalDpi="600" verticalDpi="600" orientation="landscape" paperSize="9" scale="35" r:id="rId1"/>
  <headerFooter alignWithMargins="0">
    <oddHeader>&amp;L&amp;11 3. melléklet a 16/2016.(V.26.)  önkormányzati rendelethez
</oddHeader>
  </headerFooter>
  <ignoredErrors>
    <ignoredError sqref="B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Z263"/>
  <sheetViews>
    <sheetView view="pageBreakPreview" zoomScale="43" zoomScaleSheetLayoutView="43" workbookViewId="0" topLeftCell="C1">
      <selection activeCell="C2" sqref="C2:R2"/>
    </sheetView>
  </sheetViews>
  <sheetFormatPr defaultColWidth="9.00390625" defaultRowHeight="22.5" customHeight="1"/>
  <cols>
    <col min="1" max="1" width="0.12890625" style="368" hidden="1" customWidth="1"/>
    <col min="2" max="2" width="0" style="368" hidden="1" customWidth="1"/>
    <col min="3" max="3" width="61.75390625" style="387" customWidth="1"/>
    <col min="4" max="16" width="19.75390625" style="368" customWidth="1"/>
    <col min="17" max="18" width="20.125" style="368" customWidth="1"/>
    <col min="19" max="16384" width="9.125" style="368" customWidth="1"/>
  </cols>
  <sheetData>
    <row r="1" spans="3:18" s="366" customFormat="1" ht="22.5" customHeight="1">
      <c r="C1" s="1170" t="s">
        <v>230</v>
      </c>
      <c r="D1" s="1170"/>
      <c r="E1" s="1170"/>
      <c r="F1" s="1170"/>
      <c r="G1" s="1170"/>
      <c r="H1" s="1170"/>
      <c r="I1" s="1170"/>
      <c r="J1" s="1170"/>
      <c r="K1" s="1170"/>
      <c r="L1" s="1170"/>
      <c r="M1" s="1170"/>
      <c r="N1" s="1170"/>
      <c r="O1" s="1170"/>
      <c r="P1" s="1170"/>
      <c r="Q1" s="1170"/>
      <c r="R1" s="1170"/>
    </row>
    <row r="2" spans="3:18" s="366" customFormat="1" ht="22.5" customHeight="1">
      <c r="C2" s="1149" t="s">
        <v>1050</v>
      </c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49"/>
      <c r="P2" s="1149"/>
      <c r="Q2" s="1149"/>
      <c r="R2" s="1149"/>
    </row>
    <row r="3" spans="3:18" s="366" customFormat="1" ht="22.5" customHeight="1" thickBot="1">
      <c r="C3" s="1047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20"/>
      <c r="Q3" s="920"/>
      <c r="R3" s="920"/>
    </row>
    <row r="4" spans="1:26" ht="35.25" customHeight="1">
      <c r="A4" s="367"/>
      <c r="B4" s="366"/>
      <c r="C4" s="1177" t="s">
        <v>557</v>
      </c>
      <c r="D4" s="1171" t="s">
        <v>5</v>
      </c>
      <c r="E4" s="1172"/>
      <c r="F4" s="1173"/>
      <c r="G4" s="1171" t="s">
        <v>12</v>
      </c>
      <c r="H4" s="1172"/>
      <c r="I4" s="1173"/>
      <c r="J4" s="1171" t="s">
        <v>558</v>
      </c>
      <c r="K4" s="1172"/>
      <c r="L4" s="1173"/>
      <c r="M4" s="1171" t="s">
        <v>559</v>
      </c>
      <c r="N4" s="1172"/>
      <c r="O4" s="1172"/>
      <c r="P4" s="1174" t="s">
        <v>257</v>
      </c>
      <c r="Q4" s="1175"/>
      <c r="R4" s="1176"/>
      <c r="S4" s="366"/>
      <c r="T4" s="366"/>
      <c r="U4" s="366"/>
      <c r="V4" s="366"/>
      <c r="W4" s="366"/>
      <c r="X4" s="366"/>
      <c r="Y4" s="366"/>
      <c r="Z4" s="366"/>
    </row>
    <row r="5" spans="1:26" ht="25.5" customHeight="1">
      <c r="A5" s="369"/>
      <c r="B5" s="370"/>
      <c r="C5" s="1178"/>
      <c r="D5" s="1048" t="s">
        <v>4</v>
      </c>
      <c r="E5" s="1049" t="s">
        <v>976</v>
      </c>
      <c r="F5" s="1049" t="s">
        <v>1032</v>
      </c>
      <c r="G5" s="1048" t="s">
        <v>4</v>
      </c>
      <c r="H5" s="1049" t="s">
        <v>976</v>
      </c>
      <c r="I5" s="1049" t="s">
        <v>1032</v>
      </c>
      <c r="J5" s="1048" t="s">
        <v>4</v>
      </c>
      <c r="K5" s="1049" t="s">
        <v>976</v>
      </c>
      <c r="L5" s="1049" t="s">
        <v>1032</v>
      </c>
      <c r="M5" s="1048" t="s">
        <v>4</v>
      </c>
      <c r="N5" s="1049" t="s">
        <v>976</v>
      </c>
      <c r="O5" s="1049" t="s">
        <v>1032</v>
      </c>
      <c r="P5" s="1050" t="s">
        <v>622</v>
      </c>
      <c r="Q5" s="1051" t="s">
        <v>976</v>
      </c>
      <c r="R5" s="1049" t="s">
        <v>1032</v>
      </c>
      <c r="S5" s="366"/>
      <c r="T5" s="366"/>
      <c r="U5" s="366"/>
      <c r="V5" s="366"/>
      <c r="W5" s="366"/>
      <c r="X5" s="366"/>
      <c r="Y5" s="366"/>
      <c r="Z5" s="366"/>
    </row>
    <row r="6" spans="1:26" s="375" customFormat="1" ht="22.5" customHeight="1">
      <c r="A6" s="373"/>
      <c r="B6" s="374"/>
      <c r="C6" s="1052" t="s">
        <v>560</v>
      </c>
      <c r="D6" s="1053">
        <v>221020</v>
      </c>
      <c r="E6" s="1053">
        <v>206785</v>
      </c>
      <c r="F6" s="1053">
        <v>189672</v>
      </c>
      <c r="G6" s="1053">
        <v>392724</v>
      </c>
      <c r="H6" s="1053">
        <v>389587</v>
      </c>
      <c r="I6" s="1053">
        <v>365605</v>
      </c>
      <c r="J6" s="1053">
        <v>453611</v>
      </c>
      <c r="K6" s="1053">
        <v>558704</v>
      </c>
      <c r="L6" s="1053">
        <v>549920</v>
      </c>
      <c r="M6" s="1053">
        <v>94098</v>
      </c>
      <c r="N6" s="1053">
        <v>0</v>
      </c>
      <c r="O6" s="1053">
        <v>0</v>
      </c>
      <c r="P6" s="1054">
        <f aca="true" t="shared" si="0" ref="P6:P20">SUM(D6+G6+J6+M6)</f>
        <v>1161453</v>
      </c>
      <c r="Q6" s="931">
        <f aca="true" t="shared" si="1" ref="Q6:R21">SUM(E6+H6+K6+N6)</f>
        <v>1155076</v>
      </c>
      <c r="R6" s="931">
        <f t="shared" si="1"/>
        <v>1105197</v>
      </c>
      <c r="S6" s="374"/>
      <c r="T6" s="374"/>
      <c r="U6" s="374"/>
      <c r="V6" s="374"/>
      <c r="W6" s="374"/>
      <c r="X6" s="374"/>
      <c r="Y6" s="374"/>
      <c r="Z6" s="374"/>
    </row>
    <row r="7" spans="1:26" s="375" customFormat="1" ht="42.75" customHeight="1">
      <c r="A7" s="373"/>
      <c r="B7" s="374"/>
      <c r="C7" s="1052" t="s">
        <v>561</v>
      </c>
      <c r="D7" s="1053">
        <v>50693</v>
      </c>
      <c r="E7" s="1053">
        <v>51872</v>
      </c>
      <c r="F7" s="1053">
        <v>46814</v>
      </c>
      <c r="G7" s="1053">
        <v>110887</v>
      </c>
      <c r="H7" s="1053">
        <v>111849</v>
      </c>
      <c r="I7" s="1053">
        <v>106065</v>
      </c>
      <c r="J7" s="1053">
        <v>120024</v>
      </c>
      <c r="K7" s="1053">
        <v>149486</v>
      </c>
      <c r="L7" s="1053">
        <v>147568</v>
      </c>
      <c r="M7" s="1053">
        <v>26841</v>
      </c>
      <c r="N7" s="1053">
        <v>0</v>
      </c>
      <c r="O7" s="1053">
        <v>0</v>
      </c>
      <c r="P7" s="1054">
        <f t="shared" si="0"/>
        <v>308445</v>
      </c>
      <c r="Q7" s="931">
        <f t="shared" si="1"/>
        <v>313207</v>
      </c>
      <c r="R7" s="931">
        <f t="shared" si="1"/>
        <v>300447</v>
      </c>
      <c r="S7" s="374"/>
      <c r="T7" s="374"/>
      <c r="U7" s="374"/>
      <c r="V7" s="374"/>
      <c r="W7" s="374"/>
      <c r="X7" s="374"/>
      <c r="Y7" s="374"/>
      <c r="Z7" s="374"/>
    </row>
    <row r="8" spans="1:26" s="375" customFormat="1" ht="22.5" customHeight="1">
      <c r="A8" s="373"/>
      <c r="B8" s="374"/>
      <c r="C8" s="1052" t="s">
        <v>562</v>
      </c>
      <c r="D8" s="1055">
        <v>974880</v>
      </c>
      <c r="E8" s="1055">
        <v>1285945</v>
      </c>
      <c r="F8" s="1055">
        <v>1132249</v>
      </c>
      <c r="G8" s="1055">
        <v>145311</v>
      </c>
      <c r="H8" s="1055">
        <v>125912</v>
      </c>
      <c r="I8" s="1055">
        <v>119137</v>
      </c>
      <c r="J8" s="1055">
        <v>549085</v>
      </c>
      <c r="K8" s="1055">
        <v>630983</v>
      </c>
      <c r="L8" s="1055">
        <v>594402</v>
      </c>
      <c r="M8" s="1053">
        <v>54173</v>
      </c>
      <c r="N8" s="1053">
        <v>0</v>
      </c>
      <c r="O8" s="1053">
        <v>0</v>
      </c>
      <c r="P8" s="1054">
        <f t="shared" si="0"/>
        <v>1723449</v>
      </c>
      <c r="Q8" s="931">
        <f t="shared" si="1"/>
        <v>2042840</v>
      </c>
      <c r="R8" s="931">
        <f t="shared" si="1"/>
        <v>1845788</v>
      </c>
      <c r="S8" s="374"/>
      <c r="T8" s="374"/>
      <c r="U8" s="374"/>
      <c r="V8" s="374"/>
      <c r="W8" s="374"/>
      <c r="X8" s="374"/>
      <c r="Y8" s="374"/>
      <c r="Z8" s="374"/>
    </row>
    <row r="9" spans="1:26" s="375" customFormat="1" ht="22.5" customHeight="1">
      <c r="A9" s="373"/>
      <c r="B9" s="374"/>
      <c r="C9" s="1056" t="s">
        <v>569</v>
      </c>
      <c r="D9" s="1055">
        <v>45474</v>
      </c>
      <c r="E9" s="1055">
        <v>65147</v>
      </c>
      <c r="F9" s="1055">
        <v>58046</v>
      </c>
      <c r="G9" s="1055">
        <v>16777</v>
      </c>
      <c r="H9" s="1055">
        <v>33081</v>
      </c>
      <c r="I9" s="1055">
        <v>32520</v>
      </c>
      <c r="J9" s="1055"/>
      <c r="K9" s="1055"/>
      <c r="L9" s="1055"/>
      <c r="M9" s="1053"/>
      <c r="N9" s="1053"/>
      <c r="O9" s="1053"/>
      <c r="P9" s="1054">
        <f t="shared" si="0"/>
        <v>62251</v>
      </c>
      <c r="Q9" s="931">
        <f t="shared" si="1"/>
        <v>98228</v>
      </c>
      <c r="R9" s="931">
        <f t="shared" si="1"/>
        <v>90566</v>
      </c>
      <c r="S9" s="374"/>
      <c r="T9" s="374"/>
      <c r="U9" s="374"/>
      <c r="V9" s="374"/>
      <c r="W9" s="374"/>
      <c r="X9" s="374"/>
      <c r="Y9" s="374"/>
      <c r="Z9" s="374"/>
    </row>
    <row r="10" spans="1:26" s="375" customFormat="1" ht="22.5" customHeight="1">
      <c r="A10" s="373"/>
      <c r="B10" s="374"/>
      <c r="C10" s="1052" t="s">
        <v>564</v>
      </c>
      <c r="D10" s="1055">
        <f>(D11+D12+D13+D17)</f>
        <v>1108548</v>
      </c>
      <c r="E10" s="1055">
        <f>(E11+E12+E13+E17)</f>
        <v>968077</v>
      </c>
      <c r="F10" s="1055">
        <f>(F11+F12+F13+F17)</f>
        <v>944829</v>
      </c>
      <c r="G10" s="1055">
        <f aca="true" t="shared" si="2" ref="G10:M10">SUM(G11+G12+G13+G17)</f>
        <v>3000</v>
      </c>
      <c r="H10" s="1055">
        <f>SUM(H11+H12+H13+H17)</f>
        <v>363</v>
      </c>
      <c r="I10" s="1055">
        <f>SUM(I11+I12+I13+I17)</f>
        <v>359</v>
      </c>
      <c r="J10" s="1055">
        <f t="shared" si="2"/>
        <v>0</v>
      </c>
      <c r="K10" s="1055">
        <f>SUM(K11+K12+K13+K17)</f>
        <v>31715</v>
      </c>
      <c r="L10" s="1055">
        <f t="shared" si="2"/>
        <v>31715</v>
      </c>
      <c r="M10" s="1055">
        <f t="shared" si="2"/>
        <v>0</v>
      </c>
      <c r="N10" s="1055">
        <v>0</v>
      </c>
      <c r="O10" s="1055">
        <v>0</v>
      </c>
      <c r="P10" s="1054">
        <f t="shared" si="0"/>
        <v>1111548</v>
      </c>
      <c r="Q10" s="931">
        <f t="shared" si="1"/>
        <v>1000155</v>
      </c>
      <c r="R10" s="931">
        <f t="shared" si="1"/>
        <v>976903</v>
      </c>
      <c r="S10" s="374"/>
      <c r="T10" s="374"/>
      <c r="U10" s="374"/>
      <c r="V10" s="374"/>
      <c r="W10" s="374"/>
      <c r="X10" s="374"/>
      <c r="Y10" s="374"/>
      <c r="Z10" s="374"/>
    </row>
    <row r="11" spans="1:26" ht="22.5" customHeight="1">
      <c r="A11" s="367"/>
      <c r="B11" s="366"/>
      <c r="C11" s="1057" t="s">
        <v>566</v>
      </c>
      <c r="D11" s="1058">
        <v>41220</v>
      </c>
      <c r="E11" s="1058">
        <v>38355</v>
      </c>
      <c r="F11" s="1058">
        <v>37956</v>
      </c>
      <c r="G11" s="1058">
        <v>1000</v>
      </c>
      <c r="H11" s="1058"/>
      <c r="I11" s="1058"/>
      <c r="J11" s="1058"/>
      <c r="K11" s="1058"/>
      <c r="L11" s="1058"/>
      <c r="M11" s="1058"/>
      <c r="N11" s="1058"/>
      <c r="O11" s="1058"/>
      <c r="P11" s="1054">
        <f t="shared" si="0"/>
        <v>42220</v>
      </c>
      <c r="Q11" s="931">
        <f t="shared" si="1"/>
        <v>38355</v>
      </c>
      <c r="R11" s="931">
        <f t="shared" si="1"/>
        <v>37956</v>
      </c>
      <c r="S11" s="366"/>
      <c r="T11" s="366"/>
      <c r="U11" s="366"/>
      <c r="V11" s="366"/>
      <c r="W11" s="366"/>
      <c r="X11" s="366"/>
      <c r="Y11" s="366"/>
      <c r="Z11" s="366"/>
    </row>
    <row r="12" spans="1:26" ht="22.5" customHeight="1">
      <c r="A12" s="367"/>
      <c r="B12" s="366"/>
      <c r="C12" s="1057" t="s">
        <v>567</v>
      </c>
      <c r="D12" s="1058">
        <v>867928</v>
      </c>
      <c r="E12" s="1058">
        <v>915046</v>
      </c>
      <c r="F12" s="1058">
        <v>896366</v>
      </c>
      <c r="G12" s="1058"/>
      <c r="H12" s="1058">
        <v>230</v>
      </c>
      <c r="I12" s="1058">
        <v>229</v>
      </c>
      <c r="J12" s="1058"/>
      <c r="K12" s="1058">
        <v>1715</v>
      </c>
      <c r="L12" s="1058">
        <v>1715</v>
      </c>
      <c r="M12" s="1058"/>
      <c r="N12" s="1058"/>
      <c r="O12" s="1058"/>
      <c r="P12" s="1054">
        <f t="shared" si="0"/>
        <v>867928</v>
      </c>
      <c r="Q12" s="931">
        <f t="shared" si="1"/>
        <v>916991</v>
      </c>
      <c r="R12" s="931">
        <f t="shared" si="1"/>
        <v>898310</v>
      </c>
      <c r="S12" s="366"/>
      <c r="T12" s="366"/>
      <c r="U12" s="366"/>
      <c r="V12" s="366"/>
      <c r="W12" s="366"/>
      <c r="X12" s="366"/>
      <c r="Y12" s="366"/>
      <c r="Z12" s="366"/>
    </row>
    <row r="13" spans="1:26" s="375" customFormat="1" ht="22.5" customHeight="1">
      <c r="A13" s="373"/>
      <c r="B13" s="374"/>
      <c r="C13" s="1059" t="s">
        <v>646</v>
      </c>
      <c r="D13" s="1060">
        <f>SUM(D14:D16)</f>
        <v>193800</v>
      </c>
      <c r="E13" s="1060">
        <f>SUM(E14:E16)</f>
        <v>4168</v>
      </c>
      <c r="F13" s="1060">
        <f>SUM(F14:F16)</f>
        <v>0</v>
      </c>
      <c r="G13" s="1060"/>
      <c r="H13" s="1060"/>
      <c r="I13" s="1060"/>
      <c r="J13" s="1060"/>
      <c r="K13" s="1060"/>
      <c r="L13" s="1060"/>
      <c r="M13" s="1060"/>
      <c r="N13" s="1060"/>
      <c r="O13" s="1060"/>
      <c r="P13" s="1054">
        <f t="shared" si="0"/>
        <v>193800</v>
      </c>
      <c r="Q13" s="931">
        <f t="shared" si="1"/>
        <v>4168</v>
      </c>
      <c r="R13" s="931">
        <f t="shared" si="1"/>
        <v>0</v>
      </c>
      <c r="S13" s="374"/>
      <c r="T13" s="374"/>
      <c r="U13" s="374"/>
      <c r="V13" s="374"/>
      <c r="W13" s="374"/>
      <c r="X13" s="374"/>
      <c r="Y13" s="374"/>
      <c r="Z13" s="374"/>
    </row>
    <row r="14" spans="1:26" s="379" customFormat="1" ht="22.5" customHeight="1">
      <c r="A14" s="377"/>
      <c r="B14" s="378"/>
      <c r="C14" s="1061" t="s">
        <v>568</v>
      </c>
      <c r="D14" s="1062">
        <v>15000</v>
      </c>
      <c r="E14" s="1062">
        <v>3211</v>
      </c>
      <c r="F14" s="1062">
        <v>0</v>
      </c>
      <c r="G14" s="1062"/>
      <c r="H14" s="1062"/>
      <c r="I14" s="1062"/>
      <c r="J14" s="1062"/>
      <c r="K14" s="1062"/>
      <c r="L14" s="1062"/>
      <c r="M14" s="1062"/>
      <c r="N14" s="1062"/>
      <c r="O14" s="1062"/>
      <c r="P14" s="1054">
        <f t="shared" si="0"/>
        <v>15000</v>
      </c>
      <c r="Q14" s="931">
        <f t="shared" si="1"/>
        <v>3211</v>
      </c>
      <c r="R14" s="931">
        <f t="shared" si="1"/>
        <v>0</v>
      </c>
      <c r="S14" s="378"/>
      <c r="T14" s="378"/>
      <c r="U14" s="378"/>
      <c r="V14" s="378"/>
      <c r="W14" s="378"/>
      <c r="X14" s="378"/>
      <c r="Y14" s="378"/>
      <c r="Z14" s="378"/>
    </row>
    <row r="15" spans="1:26" s="379" customFormat="1" ht="22.5" customHeight="1">
      <c r="A15" s="377"/>
      <c r="B15" s="378"/>
      <c r="C15" s="1061" t="s">
        <v>31</v>
      </c>
      <c r="D15" s="1062">
        <v>100000</v>
      </c>
      <c r="E15" s="1062">
        <v>957</v>
      </c>
      <c r="F15" s="1062">
        <v>0</v>
      </c>
      <c r="G15" s="1062"/>
      <c r="H15" s="1062"/>
      <c r="I15" s="1062"/>
      <c r="J15" s="1062"/>
      <c r="K15" s="1062"/>
      <c r="L15" s="1062"/>
      <c r="M15" s="1062"/>
      <c r="N15" s="1062"/>
      <c r="O15" s="1062"/>
      <c r="P15" s="1054">
        <f t="shared" si="0"/>
        <v>100000</v>
      </c>
      <c r="Q15" s="931">
        <f t="shared" si="1"/>
        <v>957</v>
      </c>
      <c r="R15" s="931">
        <f t="shared" si="1"/>
        <v>0</v>
      </c>
      <c r="S15" s="378"/>
      <c r="T15" s="378"/>
      <c r="U15" s="378"/>
      <c r="V15" s="378"/>
      <c r="W15" s="378"/>
      <c r="X15" s="378"/>
      <c r="Y15" s="378"/>
      <c r="Z15" s="378"/>
    </row>
    <row r="16" spans="1:26" s="379" customFormat="1" ht="22.5" customHeight="1">
      <c r="A16" s="377"/>
      <c r="B16" s="378"/>
      <c r="C16" s="1061" t="s">
        <v>578</v>
      </c>
      <c r="D16" s="1062">
        <v>78800</v>
      </c>
      <c r="E16" s="1062">
        <v>0</v>
      </c>
      <c r="F16" s="1062">
        <v>0</v>
      </c>
      <c r="G16" s="1062"/>
      <c r="H16" s="1062"/>
      <c r="I16" s="1062"/>
      <c r="J16" s="1062"/>
      <c r="K16" s="1062"/>
      <c r="L16" s="1062"/>
      <c r="M16" s="1062"/>
      <c r="N16" s="1062"/>
      <c r="O16" s="1062"/>
      <c r="P16" s="1054">
        <f t="shared" si="0"/>
        <v>78800</v>
      </c>
      <c r="Q16" s="931">
        <f t="shared" si="1"/>
        <v>0</v>
      </c>
      <c r="R16" s="931">
        <f t="shared" si="1"/>
        <v>0</v>
      </c>
      <c r="S16" s="378"/>
      <c r="T16" s="378"/>
      <c r="U16" s="378"/>
      <c r="V16" s="378"/>
      <c r="W16" s="378"/>
      <c r="X16" s="378"/>
      <c r="Y16" s="378"/>
      <c r="Z16" s="378"/>
    </row>
    <row r="17" spans="1:26" s="375" customFormat="1" ht="22.5" customHeight="1" thickBot="1">
      <c r="A17" s="380"/>
      <c r="B17" s="381"/>
      <c r="C17" s="1059" t="s">
        <v>32</v>
      </c>
      <c r="D17" s="1060">
        <v>5600</v>
      </c>
      <c r="E17" s="1060">
        <v>10508</v>
      </c>
      <c r="F17" s="1060">
        <v>10507</v>
      </c>
      <c r="G17" s="1060">
        <v>2000</v>
      </c>
      <c r="H17" s="1060">
        <v>133</v>
      </c>
      <c r="I17" s="1060">
        <v>130</v>
      </c>
      <c r="J17" s="1053"/>
      <c r="K17" s="1060">
        <v>30000</v>
      </c>
      <c r="L17" s="1060">
        <v>30000</v>
      </c>
      <c r="M17" s="1053"/>
      <c r="N17" s="1053"/>
      <c r="O17" s="1053"/>
      <c r="P17" s="1054">
        <f t="shared" si="0"/>
        <v>7600</v>
      </c>
      <c r="Q17" s="931">
        <f t="shared" si="1"/>
        <v>40641</v>
      </c>
      <c r="R17" s="931">
        <f t="shared" si="1"/>
        <v>40637</v>
      </c>
      <c r="S17" s="374"/>
      <c r="T17" s="374"/>
      <c r="U17" s="374"/>
      <c r="V17" s="374"/>
      <c r="W17" s="374"/>
      <c r="X17" s="374"/>
      <c r="Y17" s="374"/>
      <c r="Z17" s="374"/>
    </row>
    <row r="18" spans="1:26" s="375" customFormat="1" ht="22.5" customHeight="1">
      <c r="A18" s="374"/>
      <c r="B18" s="374"/>
      <c r="C18" s="1052" t="s">
        <v>579</v>
      </c>
      <c r="D18" s="1053">
        <v>2192246</v>
      </c>
      <c r="E18" s="1053">
        <v>1712165</v>
      </c>
      <c r="F18" s="1053">
        <v>1668262</v>
      </c>
      <c r="G18" s="1053">
        <v>31834</v>
      </c>
      <c r="H18" s="1053">
        <v>20354</v>
      </c>
      <c r="I18" s="1053">
        <v>9330</v>
      </c>
      <c r="J18" s="1053">
        <v>12903</v>
      </c>
      <c r="K18" s="1053">
        <v>49883</v>
      </c>
      <c r="L18" s="1053">
        <v>44496</v>
      </c>
      <c r="M18" s="1053">
        <v>8382</v>
      </c>
      <c r="N18" s="1053">
        <v>0</v>
      </c>
      <c r="O18" s="1053">
        <v>0</v>
      </c>
      <c r="P18" s="1054">
        <f t="shared" si="0"/>
        <v>2245365</v>
      </c>
      <c r="Q18" s="931">
        <f t="shared" si="1"/>
        <v>1782402</v>
      </c>
      <c r="R18" s="931">
        <f>SUM(F18+I18+L18+O18)</f>
        <v>1722088</v>
      </c>
      <c r="S18" s="374"/>
      <c r="T18" s="374"/>
      <c r="U18" s="374"/>
      <c r="V18" s="374"/>
      <c r="W18" s="374"/>
      <c r="X18" s="374"/>
      <c r="Y18" s="374"/>
      <c r="Z18" s="374"/>
    </row>
    <row r="19" spans="1:26" s="375" customFormat="1" ht="22.5" customHeight="1">
      <c r="A19" s="374"/>
      <c r="B19" s="374"/>
      <c r="C19" s="1052" t="s">
        <v>580</v>
      </c>
      <c r="D19" s="1053">
        <v>234263</v>
      </c>
      <c r="E19" s="1053">
        <v>172570</v>
      </c>
      <c r="F19" s="1053">
        <v>135727</v>
      </c>
      <c r="G19" s="1053">
        <v>0</v>
      </c>
      <c r="H19" s="1053"/>
      <c r="I19" s="1053"/>
      <c r="J19" s="1053">
        <v>19664</v>
      </c>
      <c r="K19" s="1053">
        <v>13457</v>
      </c>
      <c r="L19" s="1053">
        <v>11577</v>
      </c>
      <c r="M19" s="1053">
        <v>0</v>
      </c>
      <c r="N19" s="1053"/>
      <c r="O19" s="1053"/>
      <c r="P19" s="1054">
        <f t="shared" si="0"/>
        <v>253927</v>
      </c>
      <c r="Q19" s="931">
        <f t="shared" si="1"/>
        <v>186027</v>
      </c>
      <c r="R19" s="931">
        <f t="shared" si="1"/>
        <v>147304</v>
      </c>
      <c r="S19" s="374"/>
      <c r="T19" s="374"/>
      <c r="U19" s="374"/>
      <c r="V19" s="374"/>
      <c r="W19" s="374"/>
      <c r="X19" s="374"/>
      <c r="Y19" s="374"/>
      <c r="Z19" s="374"/>
    </row>
    <row r="20" spans="1:26" s="375" customFormat="1" ht="22.5" customHeight="1">
      <c r="A20" s="374"/>
      <c r="B20" s="374"/>
      <c r="C20" s="1052" t="s">
        <v>581</v>
      </c>
      <c r="D20" s="1063">
        <f>SUM(D22:D23)</f>
        <v>440707</v>
      </c>
      <c r="E20" s="1063">
        <f>SUM(E21:E23)</f>
        <v>249946</v>
      </c>
      <c r="F20" s="1063">
        <f>SUM(F21:F23)</f>
        <v>211053</v>
      </c>
      <c r="G20" s="1063">
        <f>SUM(G22:G23)</f>
        <v>0</v>
      </c>
      <c r="H20" s="1063">
        <f>SUM(H21:H23)</f>
        <v>1000</v>
      </c>
      <c r="I20" s="1063">
        <f>SUM(I21:I23)</f>
        <v>600</v>
      </c>
      <c r="J20" s="1063">
        <f>SUM(J22:J23)</f>
        <v>0</v>
      </c>
      <c r="K20" s="1063"/>
      <c r="L20" s="1063"/>
      <c r="M20" s="1063">
        <f>SUM(M22:M23)</f>
        <v>0</v>
      </c>
      <c r="N20" s="1063">
        <v>0</v>
      </c>
      <c r="O20" s="1063">
        <v>0</v>
      </c>
      <c r="P20" s="1054">
        <f t="shared" si="0"/>
        <v>440707</v>
      </c>
      <c r="Q20" s="931">
        <f t="shared" si="1"/>
        <v>250946</v>
      </c>
      <c r="R20" s="931">
        <f t="shared" si="1"/>
        <v>211653</v>
      </c>
      <c r="S20" s="374"/>
      <c r="T20" s="374"/>
      <c r="U20" s="374"/>
      <c r="V20" s="374"/>
      <c r="W20" s="374"/>
      <c r="X20" s="374"/>
      <c r="Y20" s="374"/>
      <c r="Z20" s="374"/>
    </row>
    <row r="21" spans="1:26" s="375" customFormat="1" ht="22.5" customHeight="1">
      <c r="A21" s="374"/>
      <c r="B21" s="374"/>
      <c r="C21" s="1059" t="s">
        <v>566</v>
      </c>
      <c r="D21" s="1063"/>
      <c r="E21" s="1060">
        <v>28986</v>
      </c>
      <c r="F21" s="1060">
        <v>28986</v>
      </c>
      <c r="G21" s="1063"/>
      <c r="H21" s="1060">
        <v>1000</v>
      </c>
      <c r="I21" s="1060">
        <v>600</v>
      </c>
      <c r="J21" s="1060"/>
      <c r="K21" s="1063"/>
      <c r="L21" s="1063"/>
      <c r="M21" s="1063"/>
      <c r="N21" s="1063"/>
      <c r="O21" s="1063"/>
      <c r="P21" s="1054"/>
      <c r="Q21" s="931">
        <f t="shared" si="1"/>
        <v>29986</v>
      </c>
      <c r="R21" s="931">
        <f t="shared" si="1"/>
        <v>29586</v>
      </c>
      <c r="S21" s="374"/>
      <c r="T21" s="374"/>
      <c r="U21" s="374"/>
      <c r="V21" s="374"/>
      <c r="W21" s="374"/>
      <c r="X21" s="374"/>
      <c r="Y21" s="374"/>
      <c r="Z21" s="374"/>
    </row>
    <row r="22" spans="1:26" s="375" customFormat="1" ht="42" customHeight="1">
      <c r="A22" s="374"/>
      <c r="B22" s="374"/>
      <c r="C22" s="1057" t="s">
        <v>582</v>
      </c>
      <c r="D22" s="1060">
        <v>193590</v>
      </c>
      <c r="E22" s="1060">
        <v>220960</v>
      </c>
      <c r="F22" s="1060">
        <v>182067</v>
      </c>
      <c r="G22" s="1053"/>
      <c r="H22" s="1053"/>
      <c r="I22" s="1053"/>
      <c r="J22" s="1053"/>
      <c r="K22" s="1053"/>
      <c r="L22" s="1053"/>
      <c r="M22" s="1053"/>
      <c r="N22" s="1053"/>
      <c r="O22" s="1053"/>
      <c r="P22" s="1054">
        <f>SUM(D22+G22+J22+M22)</f>
        <v>193590</v>
      </c>
      <c r="Q22" s="931">
        <f aca="true" t="shared" si="3" ref="Q22:R35">SUM(E22+H22+K22+N22)</f>
        <v>220960</v>
      </c>
      <c r="R22" s="931">
        <f t="shared" si="3"/>
        <v>182067</v>
      </c>
      <c r="S22" s="374"/>
      <c r="T22" s="374"/>
      <c r="U22" s="374"/>
      <c r="V22" s="374"/>
      <c r="W22" s="374"/>
      <c r="X22" s="374"/>
      <c r="Y22" s="374"/>
      <c r="Z22" s="374"/>
    </row>
    <row r="23" spans="1:26" s="383" customFormat="1" ht="22.5" customHeight="1">
      <c r="A23" s="382"/>
      <c r="B23" s="382"/>
      <c r="C23" s="1057" t="s">
        <v>650</v>
      </c>
      <c r="D23" s="1060">
        <f>SUM(D24:D25)</f>
        <v>247117</v>
      </c>
      <c r="E23" s="1060">
        <v>0</v>
      </c>
      <c r="F23" s="1060">
        <v>0</v>
      </c>
      <c r="G23" s="1062">
        <f>SUM(G24:G25)</f>
        <v>0</v>
      </c>
      <c r="H23" s="1062"/>
      <c r="I23" s="1062"/>
      <c r="J23" s="1062">
        <f>SUM(J24:J25)</f>
        <v>0</v>
      </c>
      <c r="K23" s="1062"/>
      <c r="L23" s="1062"/>
      <c r="M23" s="1062">
        <f>SUM(M24:M25)</f>
        <v>0</v>
      </c>
      <c r="N23" s="1062">
        <v>0</v>
      </c>
      <c r="O23" s="1062">
        <v>0</v>
      </c>
      <c r="P23" s="1054">
        <f>SUM(D23+G23+J23+M23)</f>
        <v>247117</v>
      </c>
      <c r="Q23" s="931">
        <f t="shared" si="3"/>
        <v>0</v>
      </c>
      <c r="R23" s="931">
        <f t="shared" si="3"/>
        <v>0</v>
      </c>
      <c r="S23" s="382"/>
      <c r="T23" s="382"/>
      <c r="U23" s="382"/>
      <c r="V23" s="382"/>
      <c r="W23" s="382"/>
      <c r="X23" s="382"/>
      <c r="Y23" s="382"/>
      <c r="Z23" s="382"/>
    </row>
    <row r="24" spans="1:26" s="383" customFormat="1" ht="42" customHeight="1">
      <c r="A24" s="382"/>
      <c r="B24" s="382"/>
      <c r="C24" s="1061" t="s">
        <v>772</v>
      </c>
      <c r="D24" s="1062">
        <v>77075</v>
      </c>
      <c r="E24" s="1062">
        <v>0</v>
      </c>
      <c r="F24" s="1062">
        <v>0</v>
      </c>
      <c r="G24" s="1062"/>
      <c r="H24" s="1062"/>
      <c r="I24" s="1062"/>
      <c r="J24" s="1062"/>
      <c r="K24" s="1062"/>
      <c r="L24" s="1062"/>
      <c r="M24" s="1062"/>
      <c r="N24" s="1062"/>
      <c r="O24" s="1062"/>
      <c r="P24" s="1054">
        <f>SUM(D24+G24+J24+M24)</f>
        <v>77075</v>
      </c>
      <c r="Q24" s="931">
        <f t="shared" si="3"/>
        <v>0</v>
      </c>
      <c r="R24" s="931">
        <f t="shared" si="3"/>
        <v>0</v>
      </c>
      <c r="S24" s="382"/>
      <c r="T24" s="382"/>
      <c r="U24" s="382"/>
      <c r="V24" s="382"/>
      <c r="W24" s="382"/>
      <c r="X24" s="382"/>
      <c r="Y24" s="382"/>
      <c r="Z24" s="382"/>
    </row>
    <row r="25" spans="1:26" s="385" customFormat="1" ht="22.5" customHeight="1">
      <c r="A25" s="384"/>
      <c r="B25" s="384"/>
      <c r="C25" s="1061" t="s">
        <v>583</v>
      </c>
      <c r="D25" s="1062">
        <v>170042</v>
      </c>
      <c r="E25" s="1062">
        <v>0</v>
      </c>
      <c r="F25" s="1062">
        <v>0</v>
      </c>
      <c r="G25" s="1063"/>
      <c r="H25" s="1063"/>
      <c r="I25" s="1063"/>
      <c r="J25" s="1063"/>
      <c r="K25" s="1063"/>
      <c r="L25" s="1063"/>
      <c r="M25" s="1063"/>
      <c r="N25" s="1063"/>
      <c r="O25" s="1063"/>
      <c r="P25" s="1054">
        <f>SUM(D25+G25+J25+M25)</f>
        <v>170042</v>
      </c>
      <c r="Q25" s="931">
        <f t="shared" si="3"/>
        <v>0</v>
      </c>
      <c r="R25" s="931">
        <f t="shared" si="3"/>
        <v>0</v>
      </c>
      <c r="S25" s="384"/>
      <c r="T25" s="384"/>
      <c r="U25" s="384"/>
      <c r="V25" s="384"/>
      <c r="W25" s="384"/>
      <c r="X25" s="384"/>
      <c r="Y25" s="384"/>
      <c r="Z25" s="384"/>
    </row>
    <row r="26" spans="3:26" s="385" customFormat="1" ht="22.5" customHeight="1">
      <c r="C26" s="1056" t="s">
        <v>584</v>
      </c>
      <c r="D26" s="1063">
        <f aca="true" t="shared" si="4" ref="D26:M26">SUM(D6+D7+D8+D9+D10+D18+D19+D20)</f>
        <v>5267831</v>
      </c>
      <c r="E26" s="1063">
        <f>SUM(E6+E7+E8+E9+E10+E18+E19+E20)</f>
        <v>4712507</v>
      </c>
      <c r="F26" s="1063">
        <f t="shared" si="4"/>
        <v>4386652</v>
      </c>
      <c r="G26" s="1063">
        <f t="shared" si="4"/>
        <v>700533</v>
      </c>
      <c r="H26" s="1063">
        <f>SUM(H6+H7+H8+H9+H10+H18+H19+H20)</f>
        <v>682146</v>
      </c>
      <c r="I26" s="1063">
        <f>SUM(I6+I7+I8+I9+I10+I18+I19+I20)</f>
        <v>633616</v>
      </c>
      <c r="J26" s="1063">
        <f t="shared" si="4"/>
        <v>1155287</v>
      </c>
      <c r="K26" s="1063">
        <f>SUM(K6+K7+K8+K9+K10+K18+K19+K20)</f>
        <v>1434228</v>
      </c>
      <c r="L26" s="1063">
        <f t="shared" si="4"/>
        <v>1379678</v>
      </c>
      <c r="M26" s="1063">
        <f t="shared" si="4"/>
        <v>183494</v>
      </c>
      <c r="N26" s="1063">
        <v>0</v>
      </c>
      <c r="O26" s="1063">
        <v>0</v>
      </c>
      <c r="P26" s="1054">
        <f>SUM(D26+G26+J26+M26)</f>
        <v>7307145</v>
      </c>
      <c r="Q26" s="931">
        <f t="shared" si="3"/>
        <v>6828881</v>
      </c>
      <c r="R26" s="931">
        <f t="shared" si="3"/>
        <v>6399946</v>
      </c>
      <c r="S26" s="384"/>
      <c r="T26" s="384"/>
      <c r="U26" s="384"/>
      <c r="V26" s="384"/>
      <c r="W26" s="384"/>
      <c r="X26" s="384"/>
      <c r="Y26" s="384"/>
      <c r="Z26" s="384"/>
    </row>
    <row r="27" spans="3:26" s="385" customFormat="1" ht="22.5" customHeight="1">
      <c r="C27" s="1056" t="s">
        <v>719</v>
      </c>
      <c r="D27" s="1063"/>
      <c r="E27" s="1063">
        <f>SUM(E28:E30)</f>
        <v>257081</v>
      </c>
      <c r="F27" s="1063">
        <f>SUM(F28:F30)</f>
        <v>257080</v>
      </c>
      <c r="G27" s="1063"/>
      <c r="H27" s="1063"/>
      <c r="I27" s="1063"/>
      <c r="J27" s="1063"/>
      <c r="K27" s="1063"/>
      <c r="L27" s="1063"/>
      <c r="M27" s="1063"/>
      <c r="N27" s="1063"/>
      <c r="O27" s="1063"/>
      <c r="P27" s="1054"/>
      <c r="Q27" s="931">
        <f t="shared" si="3"/>
        <v>257081</v>
      </c>
      <c r="R27" s="931">
        <f t="shared" si="3"/>
        <v>257080</v>
      </c>
      <c r="S27" s="384"/>
      <c r="T27" s="384"/>
      <c r="U27" s="384"/>
      <c r="V27" s="384"/>
      <c r="W27" s="384"/>
      <c r="X27" s="384"/>
      <c r="Y27" s="384"/>
      <c r="Z27" s="384"/>
    </row>
    <row r="28" spans="3:26" s="385" customFormat="1" ht="22.5" customHeight="1">
      <c r="C28" s="1059" t="s">
        <v>717</v>
      </c>
      <c r="D28" s="1063"/>
      <c r="E28" s="1060">
        <v>35131</v>
      </c>
      <c r="F28" s="1060">
        <v>35131</v>
      </c>
      <c r="G28" s="1063"/>
      <c r="H28" s="1063"/>
      <c r="I28" s="1063"/>
      <c r="J28" s="1063"/>
      <c r="K28" s="1063"/>
      <c r="L28" s="1063"/>
      <c r="M28" s="1063"/>
      <c r="N28" s="1063"/>
      <c r="O28" s="1063"/>
      <c r="P28" s="1054"/>
      <c r="Q28" s="931">
        <f t="shared" si="3"/>
        <v>35131</v>
      </c>
      <c r="R28" s="931">
        <f t="shared" si="3"/>
        <v>35131</v>
      </c>
      <c r="S28" s="384"/>
      <c r="T28" s="384"/>
      <c r="U28" s="384"/>
      <c r="V28" s="384"/>
      <c r="W28" s="384"/>
      <c r="X28" s="384"/>
      <c r="Y28" s="384"/>
      <c r="Z28" s="384"/>
    </row>
    <row r="29" spans="3:26" s="385" customFormat="1" ht="22.5" customHeight="1">
      <c r="C29" s="1059" t="s">
        <v>718</v>
      </c>
      <c r="D29" s="1063"/>
      <c r="E29" s="1060">
        <v>55556</v>
      </c>
      <c r="F29" s="1060">
        <v>55555</v>
      </c>
      <c r="G29" s="1063"/>
      <c r="H29" s="1063"/>
      <c r="I29" s="1063"/>
      <c r="J29" s="1063"/>
      <c r="K29" s="1063"/>
      <c r="L29" s="1063"/>
      <c r="M29" s="1063"/>
      <c r="N29" s="1063"/>
      <c r="O29" s="1063"/>
      <c r="P29" s="1054"/>
      <c r="Q29" s="931">
        <f t="shared" si="3"/>
        <v>55556</v>
      </c>
      <c r="R29" s="931">
        <f t="shared" si="3"/>
        <v>55555</v>
      </c>
      <c r="S29" s="384"/>
      <c r="T29" s="384"/>
      <c r="U29" s="384"/>
      <c r="V29" s="384"/>
      <c r="W29" s="384"/>
      <c r="X29" s="384"/>
      <c r="Y29" s="384"/>
      <c r="Z29" s="384"/>
    </row>
    <row r="30" spans="3:26" s="385" customFormat="1" ht="22.5" customHeight="1">
      <c r="C30" s="1059" t="s">
        <v>771</v>
      </c>
      <c r="D30" s="1063"/>
      <c r="E30" s="1060">
        <v>166394</v>
      </c>
      <c r="F30" s="1060">
        <v>166394</v>
      </c>
      <c r="G30" s="1063"/>
      <c r="H30" s="1063"/>
      <c r="I30" s="1063"/>
      <c r="J30" s="1063"/>
      <c r="K30" s="1063"/>
      <c r="L30" s="1063"/>
      <c r="M30" s="1063"/>
      <c r="N30" s="1063"/>
      <c r="O30" s="1063"/>
      <c r="P30" s="1054"/>
      <c r="Q30" s="931">
        <f t="shared" si="3"/>
        <v>166394</v>
      </c>
      <c r="R30" s="931">
        <f t="shared" si="3"/>
        <v>166394</v>
      </c>
      <c r="S30" s="384"/>
      <c r="T30" s="384"/>
      <c r="U30" s="384"/>
      <c r="V30" s="384"/>
      <c r="W30" s="384"/>
      <c r="X30" s="384"/>
      <c r="Y30" s="384"/>
      <c r="Z30" s="384"/>
    </row>
    <row r="31" spans="3:26" s="385" customFormat="1" ht="22.5" customHeight="1">
      <c r="C31" s="1056" t="s">
        <v>737</v>
      </c>
      <c r="D31" s="1063"/>
      <c r="E31" s="1060">
        <v>696366</v>
      </c>
      <c r="F31" s="1060">
        <v>696366</v>
      </c>
      <c r="G31" s="1063"/>
      <c r="H31" s="1063"/>
      <c r="I31" s="1063"/>
      <c r="J31" s="1063"/>
      <c r="K31" s="1063"/>
      <c r="L31" s="1063"/>
      <c r="M31" s="1063"/>
      <c r="N31" s="1063"/>
      <c r="O31" s="1063"/>
      <c r="P31" s="1054"/>
      <c r="Q31" s="931">
        <f t="shared" si="3"/>
        <v>696366</v>
      </c>
      <c r="R31" s="931">
        <f t="shared" si="3"/>
        <v>696366</v>
      </c>
      <c r="S31" s="384"/>
      <c r="T31" s="384"/>
      <c r="U31" s="384"/>
      <c r="V31" s="384"/>
      <c r="W31" s="384"/>
      <c r="X31" s="384"/>
      <c r="Y31" s="384"/>
      <c r="Z31" s="384"/>
    </row>
    <row r="32" spans="3:26" s="385" customFormat="1" ht="22.5" customHeight="1">
      <c r="C32" s="1056" t="s">
        <v>706</v>
      </c>
      <c r="D32" s="1063"/>
      <c r="E32" s="1060">
        <v>1500000</v>
      </c>
      <c r="F32" s="1060">
        <v>1500000</v>
      </c>
      <c r="G32" s="1063"/>
      <c r="H32" s="1063"/>
      <c r="I32" s="1063"/>
      <c r="J32" s="1063"/>
      <c r="K32" s="1063"/>
      <c r="L32" s="1063"/>
      <c r="M32" s="1063"/>
      <c r="N32" s="1063"/>
      <c r="O32" s="1063"/>
      <c r="P32" s="1054"/>
      <c r="Q32" s="931">
        <f t="shared" si="3"/>
        <v>1500000</v>
      </c>
      <c r="R32" s="931">
        <f t="shared" si="3"/>
        <v>1500000</v>
      </c>
      <c r="S32" s="384"/>
      <c r="T32" s="384"/>
      <c r="U32" s="384"/>
      <c r="V32" s="384"/>
      <c r="W32" s="384"/>
      <c r="X32" s="384"/>
      <c r="Y32" s="384"/>
      <c r="Z32" s="384"/>
    </row>
    <row r="33" spans="3:18" s="366" customFormat="1" ht="22.5" customHeight="1">
      <c r="C33" s="1056" t="s">
        <v>244</v>
      </c>
      <c r="D33" s="930">
        <v>1656216</v>
      </c>
      <c r="E33" s="930">
        <v>1606891</v>
      </c>
      <c r="F33" s="930">
        <v>1581155</v>
      </c>
      <c r="G33" s="829"/>
      <c r="H33" s="829"/>
      <c r="I33" s="829"/>
      <c r="J33" s="829"/>
      <c r="K33" s="829"/>
      <c r="L33" s="829"/>
      <c r="M33" s="829"/>
      <c r="N33" s="829"/>
      <c r="O33" s="829"/>
      <c r="P33" s="1054">
        <f>SUM(D33+G33+J33+M33)</f>
        <v>1656216</v>
      </c>
      <c r="Q33" s="931">
        <f t="shared" si="3"/>
        <v>1606891</v>
      </c>
      <c r="R33" s="931">
        <f t="shared" si="3"/>
        <v>1581155</v>
      </c>
    </row>
    <row r="34" spans="3:18" s="366" customFormat="1" ht="22.5" customHeight="1">
      <c r="C34" s="1056" t="s">
        <v>585</v>
      </c>
      <c r="D34" s="1064">
        <f>SUM(D33:D33)</f>
        <v>1656216</v>
      </c>
      <c r="E34" s="1064">
        <f>(E27+E32+E33+E31)</f>
        <v>4060338</v>
      </c>
      <c r="F34" s="1064">
        <f>(F27+F32+F33+F31)</f>
        <v>4034601</v>
      </c>
      <c r="G34" s="1064">
        <f>SUM(G33:G33)</f>
        <v>0</v>
      </c>
      <c r="H34" s="1064">
        <v>0</v>
      </c>
      <c r="I34" s="1064">
        <v>0</v>
      </c>
      <c r="J34" s="1064">
        <f>SUM(J33:J33)</f>
        <v>0</v>
      </c>
      <c r="K34" s="1064"/>
      <c r="L34" s="1064"/>
      <c r="M34" s="1064">
        <f>SUM(M33:M33)</f>
        <v>0</v>
      </c>
      <c r="N34" s="1064">
        <v>0</v>
      </c>
      <c r="O34" s="1064">
        <v>0</v>
      </c>
      <c r="P34" s="1054">
        <f>SUM(D34+G34+J34+M34)</f>
        <v>1656216</v>
      </c>
      <c r="Q34" s="931">
        <f t="shared" si="3"/>
        <v>4060338</v>
      </c>
      <c r="R34" s="931">
        <f t="shared" si="3"/>
        <v>4034601</v>
      </c>
    </row>
    <row r="35" spans="3:26" ht="22.5" customHeight="1" thickBot="1">
      <c r="C35" s="1065" t="s">
        <v>586</v>
      </c>
      <c r="D35" s="1066">
        <f aca="true" t="shared" si="5" ref="D35:M35">SUM(D26+D34)</f>
        <v>6924047</v>
      </c>
      <c r="E35" s="1066">
        <f>SUM(E26+E34)</f>
        <v>8772845</v>
      </c>
      <c r="F35" s="1066">
        <f t="shared" si="5"/>
        <v>8421253</v>
      </c>
      <c r="G35" s="1066">
        <f t="shared" si="5"/>
        <v>700533</v>
      </c>
      <c r="H35" s="1066">
        <f>SUM(H26+H34)</f>
        <v>682146</v>
      </c>
      <c r="I35" s="1066">
        <f t="shared" si="5"/>
        <v>633616</v>
      </c>
      <c r="J35" s="1066">
        <f t="shared" si="5"/>
        <v>1155287</v>
      </c>
      <c r="K35" s="1066">
        <f>SUM(K26+K34)</f>
        <v>1434228</v>
      </c>
      <c r="L35" s="1066">
        <f t="shared" si="5"/>
        <v>1379678</v>
      </c>
      <c r="M35" s="1066">
        <f t="shared" si="5"/>
        <v>183494</v>
      </c>
      <c r="N35" s="1066">
        <v>0</v>
      </c>
      <c r="O35" s="1066">
        <v>0</v>
      </c>
      <c r="P35" s="1067">
        <f>SUM(D35+G35+J35+M35)</f>
        <v>8963361</v>
      </c>
      <c r="Q35" s="937">
        <f t="shared" si="3"/>
        <v>10889219</v>
      </c>
      <c r="R35" s="937">
        <f t="shared" si="3"/>
        <v>10434547</v>
      </c>
      <c r="S35" s="366"/>
      <c r="T35" s="366"/>
      <c r="U35" s="366"/>
      <c r="V35" s="366"/>
      <c r="W35" s="366"/>
      <c r="X35" s="366"/>
      <c r="Y35" s="366"/>
      <c r="Z35" s="366"/>
    </row>
    <row r="36" spans="3:26" ht="22.5" customHeight="1">
      <c r="C36" s="38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</row>
    <row r="37" spans="3:26" ht="22.5" customHeight="1">
      <c r="C37" s="38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</row>
    <row r="38" spans="3:26" ht="22.5" customHeight="1">
      <c r="C38" s="38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</row>
    <row r="39" spans="3:26" ht="22.5" customHeight="1">
      <c r="C39" s="38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</row>
    <row r="40" spans="3:26" ht="22.5" customHeight="1">
      <c r="C40" s="38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</row>
    <row r="41" spans="3:26" ht="22.5" customHeight="1">
      <c r="C41" s="38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</row>
    <row r="42" spans="3:26" ht="22.5" customHeight="1">
      <c r="C42" s="38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</row>
    <row r="43" spans="3:26" ht="22.5" customHeight="1">
      <c r="C43" s="38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</row>
    <row r="44" spans="3:26" ht="22.5" customHeight="1">
      <c r="C44" s="38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</row>
    <row r="45" spans="3:26" ht="22.5" customHeight="1">
      <c r="C45" s="38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</row>
    <row r="46" spans="3:26" ht="22.5" customHeight="1">
      <c r="C46" s="38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</row>
    <row r="47" spans="3:26" ht="22.5" customHeight="1">
      <c r="C47" s="38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</row>
    <row r="48" spans="3:26" ht="22.5" customHeight="1">
      <c r="C48" s="38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</row>
    <row r="49" spans="3:26" ht="22.5" customHeight="1">
      <c r="C49" s="38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</row>
    <row r="50" spans="3:26" ht="22.5" customHeight="1">
      <c r="C50" s="38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</row>
    <row r="51" spans="3:26" ht="22.5" customHeight="1">
      <c r="C51" s="38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</row>
    <row r="52" spans="3:26" ht="22.5" customHeight="1">
      <c r="C52" s="38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</row>
    <row r="53" spans="3:26" ht="22.5" customHeight="1">
      <c r="C53" s="38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</row>
    <row r="54" spans="3:26" ht="22.5" customHeight="1">
      <c r="C54" s="38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</row>
    <row r="55" spans="3:26" ht="22.5" customHeight="1">
      <c r="C55" s="38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</row>
    <row r="56" spans="3:26" ht="22.5" customHeight="1">
      <c r="C56" s="38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</row>
    <row r="57" spans="3:26" ht="22.5" customHeight="1">
      <c r="C57" s="38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</row>
    <row r="58" spans="3:26" ht="22.5" customHeight="1">
      <c r="C58" s="386"/>
      <c r="D58" s="366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</row>
    <row r="59" spans="3:15" ht="22.5" customHeight="1">
      <c r="C59" s="38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</row>
    <row r="60" spans="3:15" ht="22.5" customHeight="1">
      <c r="C60" s="38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</row>
    <row r="61" spans="3:15" ht="22.5" customHeight="1">
      <c r="C61" s="38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</row>
    <row r="62" spans="3:15" ht="22.5" customHeight="1">
      <c r="C62" s="38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</row>
    <row r="63" spans="3:15" ht="22.5" customHeight="1">
      <c r="C63" s="386"/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</row>
    <row r="64" spans="3:15" ht="22.5" customHeight="1">
      <c r="C64" s="38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</row>
    <row r="65" spans="3:15" ht="22.5" customHeight="1">
      <c r="C65" s="386"/>
      <c r="D65" s="366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</row>
    <row r="66" spans="3:15" ht="22.5" customHeight="1">
      <c r="C66" s="38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</row>
    <row r="67" spans="3:15" ht="22.5" customHeight="1">
      <c r="C67" s="386"/>
      <c r="D67" s="366"/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O67" s="366"/>
    </row>
    <row r="68" spans="3:15" ht="22.5" customHeight="1">
      <c r="C68" s="386"/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</row>
    <row r="69" spans="3:15" ht="22.5" customHeight="1">
      <c r="C69" s="386"/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</row>
    <row r="70" spans="3:15" ht="22.5" customHeight="1">
      <c r="C70" s="386"/>
      <c r="D70" s="366"/>
      <c r="E70" s="366"/>
      <c r="F70" s="366"/>
      <c r="G70" s="366"/>
      <c r="H70" s="366"/>
      <c r="I70" s="366"/>
      <c r="J70" s="366"/>
      <c r="K70" s="366"/>
      <c r="L70" s="366"/>
      <c r="M70" s="366"/>
      <c r="N70" s="366"/>
      <c r="O70" s="366"/>
    </row>
    <row r="71" spans="3:15" ht="22.5" customHeight="1">
      <c r="C71" s="386"/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6"/>
    </row>
    <row r="72" spans="3:15" ht="22.5" customHeight="1">
      <c r="C72" s="386"/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</row>
    <row r="73" spans="3:15" ht="22.5" customHeight="1">
      <c r="C73" s="386"/>
      <c r="D73" s="366"/>
      <c r="E73" s="366"/>
      <c r="F73" s="366"/>
      <c r="G73" s="366"/>
      <c r="H73" s="366"/>
      <c r="I73" s="366"/>
      <c r="J73" s="366"/>
      <c r="K73" s="366"/>
      <c r="L73" s="366"/>
      <c r="M73" s="366"/>
      <c r="N73" s="366"/>
      <c r="O73" s="366"/>
    </row>
    <row r="74" spans="3:15" ht="22.5" customHeight="1">
      <c r="C74" s="386"/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66"/>
    </row>
    <row r="75" spans="3:15" ht="22.5" customHeight="1">
      <c r="C75" s="386"/>
      <c r="D75" s="366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</row>
    <row r="76" spans="3:15" ht="22.5" customHeight="1">
      <c r="C76" s="386"/>
      <c r="D76" s="366"/>
      <c r="E76" s="366"/>
      <c r="F76" s="366"/>
      <c r="G76" s="366"/>
      <c r="H76" s="366"/>
      <c r="I76" s="366"/>
      <c r="J76" s="366"/>
      <c r="K76" s="366"/>
      <c r="L76" s="366"/>
      <c r="M76" s="366"/>
      <c r="N76" s="366"/>
      <c r="O76" s="366"/>
    </row>
    <row r="77" spans="3:15" ht="22.5" customHeight="1">
      <c r="C77" s="38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</row>
    <row r="78" spans="3:15" ht="22.5" customHeight="1">
      <c r="C78" s="386"/>
      <c r="D78" s="366"/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</row>
    <row r="79" spans="3:15" ht="22.5" customHeight="1">
      <c r="C79" s="386"/>
      <c r="D79" s="366"/>
      <c r="E79" s="366"/>
      <c r="F79" s="366"/>
      <c r="G79" s="366"/>
      <c r="H79" s="366"/>
      <c r="I79" s="366"/>
      <c r="J79" s="366"/>
      <c r="K79" s="366"/>
      <c r="L79" s="366"/>
      <c r="M79" s="366"/>
      <c r="N79" s="366"/>
      <c r="O79" s="366"/>
    </row>
    <row r="80" spans="3:15" ht="22.5" customHeight="1">
      <c r="C80" s="386"/>
      <c r="D80" s="366"/>
      <c r="E80" s="366"/>
      <c r="F80" s="366"/>
      <c r="G80" s="366"/>
      <c r="H80" s="366"/>
      <c r="I80" s="366"/>
      <c r="J80" s="366"/>
      <c r="K80" s="366"/>
      <c r="L80" s="366"/>
      <c r="M80" s="366"/>
      <c r="N80" s="366"/>
      <c r="O80" s="366"/>
    </row>
    <row r="81" spans="3:15" ht="22.5" customHeight="1">
      <c r="C81" s="386"/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</row>
    <row r="82" spans="3:15" ht="22.5" customHeight="1">
      <c r="C82" s="386"/>
      <c r="D82" s="366"/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</row>
    <row r="83" spans="3:15" ht="22.5" customHeight="1">
      <c r="C83" s="386"/>
      <c r="D83" s="366"/>
      <c r="E83" s="366"/>
      <c r="F83" s="366"/>
      <c r="G83" s="366"/>
      <c r="H83" s="366"/>
      <c r="I83" s="366"/>
      <c r="J83" s="366"/>
      <c r="K83" s="366"/>
      <c r="L83" s="366"/>
      <c r="M83" s="366"/>
      <c r="N83" s="366"/>
      <c r="O83" s="366"/>
    </row>
    <row r="84" spans="3:15" ht="22.5" customHeight="1">
      <c r="C84" s="38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</row>
    <row r="85" spans="3:15" ht="22.5" customHeight="1">
      <c r="C85" s="386"/>
      <c r="D85" s="366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</row>
    <row r="86" spans="3:15" ht="22.5" customHeight="1">
      <c r="C86" s="386"/>
      <c r="D86" s="366"/>
      <c r="E86" s="366"/>
      <c r="F86" s="366"/>
      <c r="G86" s="366"/>
      <c r="H86" s="366"/>
      <c r="I86" s="366"/>
      <c r="J86" s="366"/>
      <c r="K86" s="366"/>
      <c r="L86" s="366"/>
      <c r="M86" s="366"/>
      <c r="N86" s="366"/>
      <c r="O86" s="366"/>
    </row>
    <row r="87" spans="3:15" ht="22.5" customHeight="1">
      <c r="C87" s="386"/>
      <c r="D87" s="366"/>
      <c r="E87" s="366"/>
      <c r="F87" s="366"/>
      <c r="G87" s="366"/>
      <c r="H87" s="366"/>
      <c r="I87" s="366"/>
      <c r="J87" s="366"/>
      <c r="K87" s="366"/>
      <c r="L87" s="366"/>
      <c r="M87" s="366"/>
      <c r="N87" s="366"/>
      <c r="O87" s="366"/>
    </row>
    <row r="88" spans="3:15" ht="22.5" customHeight="1">
      <c r="C88" s="386"/>
      <c r="D88" s="366"/>
      <c r="E88" s="366"/>
      <c r="F88" s="366"/>
      <c r="G88" s="366"/>
      <c r="H88" s="366"/>
      <c r="I88" s="366"/>
      <c r="J88" s="366"/>
      <c r="K88" s="366"/>
      <c r="L88" s="366"/>
      <c r="M88" s="366"/>
      <c r="N88" s="366"/>
      <c r="O88" s="366"/>
    </row>
    <row r="89" spans="3:15" ht="22.5" customHeight="1">
      <c r="C89" s="386"/>
      <c r="D89" s="366"/>
      <c r="E89" s="366"/>
      <c r="F89" s="366"/>
      <c r="G89" s="366"/>
      <c r="H89" s="366"/>
      <c r="I89" s="366"/>
      <c r="J89" s="366"/>
      <c r="K89" s="366"/>
      <c r="L89" s="366"/>
      <c r="M89" s="366"/>
      <c r="N89" s="366"/>
      <c r="O89" s="366"/>
    </row>
    <row r="90" spans="3:15" ht="22.5" customHeight="1">
      <c r="C90" s="386"/>
      <c r="D90" s="366"/>
      <c r="E90" s="366"/>
      <c r="F90" s="366"/>
      <c r="G90" s="366"/>
      <c r="H90" s="366"/>
      <c r="I90" s="366"/>
      <c r="J90" s="366"/>
      <c r="K90" s="366"/>
      <c r="L90" s="366"/>
      <c r="M90" s="366"/>
      <c r="N90" s="366"/>
      <c r="O90" s="366"/>
    </row>
    <row r="91" spans="3:15" ht="22.5" customHeight="1">
      <c r="C91" s="386"/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</row>
    <row r="92" spans="3:15" ht="22.5" customHeight="1">
      <c r="C92" s="386"/>
      <c r="D92" s="366"/>
      <c r="E92" s="366"/>
      <c r="F92" s="366"/>
      <c r="G92" s="366"/>
      <c r="H92" s="366"/>
      <c r="I92" s="366"/>
      <c r="J92" s="366"/>
      <c r="K92" s="366"/>
      <c r="L92" s="366"/>
      <c r="M92" s="366"/>
      <c r="N92" s="366"/>
      <c r="O92" s="366"/>
    </row>
    <row r="93" spans="3:15" ht="22.5" customHeight="1">
      <c r="C93" s="386"/>
      <c r="D93" s="366"/>
      <c r="E93" s="366"/>
      <c r="F93" s="366"/>
      <c r="G93" s="366"/>
      <c r="H93" s="366"/>
      <c r="I93" s="366"/>
      <c r="J93" s="366"/>
      <c r="K93" s="366"/>
      <c r="L93" s="366"/>
      <c r="M93" s="366"/>
      <c r="N93" s="366"/>
      <c r="O93" s="366"/>
    </row>
    <row r="94" spans="3:15" ht="22.5" customHeight="1">
      <c r="C94" s="386"/>
      <c r="D94" s="366"/>
      <c r="E94" s="366"/>
      <c r="F94" s="366"/>
      <c r="G94" s="366"/>
      <c r="H94" s="366"/>
      <c r="I94" s="366"/>
      <c r="J94" s="366"/>
      <c r="K94" s="366"/>
      <c r="L94" s="366"/>
      <c r="M94" s="366"/>
      <c r="N94" s="366"/>
      <c r="O94" s="366"/>
    </row>
    <row r="95" spans="3:15" ht="22.5" customHeight="1">
      <c r="C95" s="386"/>
      <c r="D95" s="366"/>
      <c r="E95" s="366"/>
      <c r="F95" s="366"/>
      <c r="G95" s="366"/>
      <c r="H95" s="366"/>
      <c r="I95" s="366"/>
      <c r="J95" s="366"/>
      <c r="K95" s="366"/>
      <c r="L95" s="366"/>
      <c r="M95" s="366"/>
      <c r="N95" s="366"/>
      <c r="O95" s="366"/>
    </row>
    <row r="96" spans="3:15" ht="22.5" customHeight="1">
      <c r="C96" s="386"/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66"/>
    </row>
    <row r="97" spans="3:15" ht="22.5" customHeight="1">
      <c r="C97" s="386"/>
      <c r="D97" s="366"/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66"/>
    </row>
    <row r="98" spans="3:15" ht="22.5" customHeight="1">
      <c r="C98" s="386"/>
      <c r="D98" s="366"/>
      <c r="E98" s="366"/>
      <c r="F98" s="366"/>
      <c r="G98" s="366"/>
      <c r="H98" s="366"/>
      <c r="I98" s="366"/>
      <c r="J98" s="366"/>
      <c r="K98" s="366"/>
      <c r="L98" s="366"/>
      <c r="M98" s="366"/>
      <c r="N98" s="366"/>
      <c r="O98" s="366"/>
    </row>
    <row r="99" spans="3:15" ht="22.5" customHeight="1">
      <c r="C99" s="386"/>
      <c r="D99" s="366"/>
      <c r="E99" s="366"/>
      <c r="F99" s="366"/>
      <c r="G99" s="366"/>
      <c r="H99" s="366"/>
      <c r="I99" s="366"/>
      <c r="J99" s="366"/>
      <c r="K99" s="366"/>
      <c r="L99" s="366"/>
      <c r="M99" s="366"/>
      <c r="N99" s="366"/>
      <c r="O99" s="366"/>
    </row>
    <row r="100" spans="3:15" ht="22.5" customHeight="1">
      <c r="C100" s="386"/>
      <c r="D100" s="366"/>
      <c r="E100" s="366"/>
      <c r="F100" s="366"/>
      <c r="G100" s="366"/>
      <c r="H100" s="366"/>
      <c r="I100" s="366"/>
      <c r="J100" s="366"/>
      <c r="K100" s="366"/>
      <c r="L100" s="366"/>
      <c r="M100" s="366"/>
      <c r="N100" s="366"/>
      <c r="O100" s="366"/>
    </row>
    <row r="101" spans="3:15" ht="22.5" customHeight="1">
      <c r="C101" s="386"/>
      <c r="D101" s="366"/>
      <c r="E101" s="366"/>
      <c r="F101" s="366"/>
      <c r="G101" s="366"/>
      <c r="H101" s="366"/>
      <c r="I101" s="366"/>
      <c r="J101" s="366"/>
      <c r="K101" s="366"/>
      <c r="L101" s="366"/>
      <c r="M101" s="366"/>
      <c r="N101" s="366"/>
      <c r="O101" s="366"/>
    </row>
    <row r="102" spans="3:15" ht="22.5" customHeight="1">
      <c r="C102" s="386"/>
      <c r="D102" s="366"/>
      <c r="E102" s="366"/>
      <c r="F102" s="366"/>
      <c r="G102" s="366"/>
      <c r="H102" s="366"/>
      <c r="I102" s="366"/>
      <c r="J102" s="366"/>
      <c r="K102" s="366"/>
      <c r="L102" s="366"/>
      <c r="M102" s="366"/>
      <c r="N102" s="366"/>
      <c r="O102" s="366"/>
    </row>
    <row r="103" spans="3:15" ht="22.5" customHeight="1">
      <c r="C103" s="386"/>
      <c r="D103" s="366"/>
      <c r="E103" s="366"/>
      <c r="F103" s="366"/>
      <c r="G103" s="366"/>
      <c r="H103" s="366"/>
      <c r="I103" s="366"/>
      <c r="J103" s="366"/>
      <c r="K103" s="366"/>
      <c r="L103" s="366"/>
      <c r="M103" s="366"/>
      <c r="N103" s="366"/>
      <c r="O103" s="366"/>
    </row>
    <row r="104" spans="3:15" ht="22.5" customHeight="1">
      <c r="C104" s="386"/>
      <c r="D104" s="366"/>
      <c r="E104" s="366"/>
      <c r="F104" s="366"/>
      <c r="G104" s="366"/>
      <c r="H104" s="366"/>
      <c r="I104" s="366"/>
      <c r="J104" s="366"/>
      <c r="K104" s="366"/>
      <c r="L104" s="366"/>
      <c r="M104" s="366"/>
      <c r="N104" s="366"/>
      <c r="O104" s="366"/>
    </row>
    <row r="105" spans="3:15" ht="22.5" customHeight="1">
      <c r="C105" s="386"/>
      <c r="D105" s="366"/>
      <c r="E105" s="366"/>
      <c r="F105" s="366"/>
      <c r="G105" s="366"/>
      <c r="H105" s="366"/>
      <c r="I105" s="366"/>
      <c r="J105" s="366"/>
      <c r="K105" s="366"/>
      <c r="L105" s="366"/>
      <c r="M105" s="366"/>
      <c r="N105" s="366"/>
      <c r="O105" s="366"/>
    </row>
    <row r="106" spans="3:15" ht="22.5" customHeight="1">
      <c r="C106" s="38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</row>
    <row r="107" spans="3:15" ht="22.5" customHeight="1">
      <c r="C107" s="386"/>
      <c r="D107" s="366"/>
      <c r="E107" s="366"/>
      <c r="F107" s="366"/>
      <c r="G107" s="366"/>
      <c r="H107" s="366"/>
      <c r="I107" s="366"/>
      <c r="J107" s="366"/>
      <c r="K107" s="366"/>
      <c r="L107" s="366"/>
      <c r="M107" s="366"/>
      <c r="N107" s="366"/>
      <c r="O107" s="366"/>
    </row>
    <row r="108" spans="3:15" ht="22.5" customHeight="1">
      <c r="C108" s="386"/>
      <c r="D108" s="366"/>
      <c r="E108" s="366"/>
      <c r="F108" s="366"/>
      <c r="G108" s="366"/>
      <c r="H108" s="366"/>
      <c r="I108" s="366"/>
      <c r="J108" s="366"/>
      <c r="K108" s="366"/>
      <c r="L108" s="366"/>
      <c r="M108" s="366"/>
      <c r="N108" s="366"/>
      <c r="O108" s="366"/>
    </row>
    <row r="109" spans="3:15" ht="22.5" customHeight="1">
      <c r="C109" s="386"/>
      <c r="D109" s="366"/>
      <c r="E109" s="366"/>
      <c r="F109" s="366"/>
      <c r="G109" s="366"/>
      <c r="H109" s="366"/>
      <c r="I109" s="366"/>
      <c r="J109" s="366"/>
      <c r="K109" s="366"/>
      <c r="L109" s="366"/>
      <c r="M109" s="366"/>
      <c r="N109" s="366"/>
      <c r="O109" s="366"/>
    </row>
    <row r="110" spans="3:15" ht="22.5" customHeight="1">
      <c r="C110" s="38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</row>
    <row r="111" spans="3:15" ht="22.5" customHeight="1">
      <c r="C111" s="386"/>
      <c r="D111" s="366"/>
      <c r="E111" s="366"/>
      <c r="F111" s="366"/>
      <c r="G111" s="366"/>
      <c r="H111" s="366"/>
      <c r="I111" s="366"/>
      <c r="J111" s="366"/>
      <c r="K111" s="366"/>
      <c r="L111" s="366"/>
      <c r="M111" s="366"/>
      <c r="N111" s="366"/>
      <c r="O111" s="366"/>
    </row>
    <row r="112" spans="3:15" ht="22.5" customHeight="1">
      <c r="C112" s="386"/>
      <c r="D112" s="366"/>
      <c r="E112" s="366"/>
      <c r="F112" s="366"/>
      <c r="G112" s="366"/>
      <c r="H112" s="366"/>
      <c r="I112" s="366"/>
      <c r="J112" s="366"/>
      <c r="K112" s="366"/>
      <c r="L112" s="366"/>
      <c r="M112" s="366"/>
      <c r="N112" s="366"/>
      <c r="O112" s="366"/>
    </row>
    <row r="113" spans="3:15" ht="22.5" customHeight="1">
      <c r="C113" s="386"/>
      <c r="D113" s="366"/>
      <c r="E113" s="366"/>
      <c r="F113" s="366"/>
      <c r="G113" s="366"/>
      <c r="H113" s="366"/>
      <c r="I113" s="366"/>
      <c r="J113" s="366"/>
      <c r="K113" s="366"/>
      <c r="L113" s="366"/>
      <c r="M113" s="366"/>
      <c r="N113" s="366"/>
      <c r="O113" s="366"/>
    </row>
    <row r="114" spans="3:15" ht="22.5" customHeight="1">
      <c r="C114" s="386"/>
      <c r="D114" s="366"/>
      <c r="E114" s="366"/>
      <c r="F114" s="366"/>
      <c r="G114" s="366"/>
      <c r="H114" s="366"/>
      <c r="I114" s="366"/>
      <c r="J114" s="366"/>
      <c r="K114" s="366"/>
      <c r="L114" s="366"/>
      <c r="M114" s="366"/>
      <c r="N114" s="366"/>
      <c r="O114" s="366"/>
    </row>
    <row r="115" spans="3:15" ht="22.5" customHeight="1">
      <c r="C115" s="386"/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</row>
    <row r="116" spans="3:15" ht="22.5" customHeight="1">
      <c r="C116" s="386"/>
      <c r="D116" s="366"/>
      <c r="E116" s="366"/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</row>
    <row r="117" spans="3:15" ht="22.5" customHeight="1">
      <c r="C117" s="386"/>
      <c r="D117" s="366"/>
      <c r="E117" s="366"/>
      <c r="F117" s="366"/>
      <c r="G117" s="366"/>
      <c r="H117" s="366"/>
      <c r="I117" s="366"/>
      <c r="J117" s="366"/>
      <c r="K117" s="366"/>
      <c r="L117" s="366"/>
      <c r="M117" s="366"/>
      <c r="N117" s="366"/>
      <c r="O117" s="366"/>
    </row>
    <row r="118" spans="3:15" ht="22.5" customHeight="1">
      <c r="C118" s="386"/>
      <c r="D118" s="366"/>
      <c r="E118" s="366"/>
      <c r="F118" s="366"/>
      <c r="G118" s="366"/>
      <c r="H118" s="366"/>
      <c r="I118" s="366"/>
      <c r="J118" s="366"/>
      <c r="K118" s="366"/>
      <c r="L118" s="366"/>
      <c r="M118" s="366"/>
      <c r="N118" s="366"/>
      <c r="O118" s="366"/>
    </row>
    <row r="119" spans="3:15" ht="22.5" customHeight="1">
      <c r="C119" s="386"/>
      <c r="D119" s="366"/>
      <c r="E119" s="366"/>
      <c r="F119" s="366"/>
      <c r="G119" s="366"/>
      <c r="H119" s="366"/>
      <c r="I119" s="366"/>
      <c r="J119" s="366"/>
      <c r="K119" s="366"/>
      <c r="L119" s="366"/>
      <c r="M119" s="366"/>
      <c r="N119" s="366"/>
      <c r="O119" s="366"/>
    </row>
    <row r="120" spans="3:15" ht="22.5" customHeight="1">
      <c r="C120" s="386"/>
      <c r="D120" s="366"/>
      <c r="E120" s="366"/>
      <c r="F120" s="366"/>
      <c r="G120" s="366"/>
      <c r="H120" s="366"/>
      <c r="I120" s="366"/>
      <c r="J120" s="366"/>
      <c r="K120" s="366"/>
      <c r="L120" s="366"/>
      <c r="M120" s="366"/>
      <c r="N120" s="366"/>
      <c r="O120" s="366"/>
    </row>
    <row r="121" spans="3:15" ht="22.5" customHeight="1">
      <c r="C121" s="386"/>
      <c r="D121" s="366"/>
      <c r="E121" s="366"/>
      <c r="F121" s="366"/>
      <c r="G121" s="366"/>
      <c r="H121" s="366"/>
      <c r="I121" s="366"/>
      <c r="J121" s="366"/>
      <c r="K121" s="366"/>
      <c r="L121" s="366"/>
      <c r="M121" s="366"/>
      <c r="N121" s="366"/>
      <c r="O121" s="366"/>
    </row>
    <row r="122" spans="3:15" ht="22.5" customHeight="1">
      <c r="C122" s="386"/>
      <c r="D122" s="366"/>
      <c r="E122" s="366"/>
      <c r="F122" s="366"/>
      <c r="G122" s="366"/>
      <c r="H122" s="366"/>
      <c r="I122" s="366"/>
      <c r="J122" s="366"/>
      <c r="K122" s="366"/>
      <c r="L122" s="366"/>
      <c r="M122" s="366"/>
      <c r="N122" s="366"/>
      <c r="O122" s="366"/>
    </row>
    <row r="123" spans="3:15" ht="22.5" customHeight="1">
      <c r="C123" s="386"/>
      <c r="D123" s="366"/>
      <c r="E123" s="366"/>
      <c r="F123" s="366"/>
      <c r="G123" s="366"/>
      <c r="H123" s="366"/>
      <c r="I123" s="366"/>
      <c r="J123" s="366"/>
      <c r="K123" s="366"/>
      <c r="L123" s="366"/>
      <c r="M123" s="366"/>
      <c r="N123" s="366"/>
      <c r="O123" s="366"/>
    </row>
    <row r="124" spans="3:15" ht="22.5" customHeight="1">
      <c r="C124" s="386"/>
      <c r="D124" s="366"/>
      <c r="E124" s="366"/>
      <c r="F124" s="366"/>
      <c r="G124" s="366"/>
      <c r="H124" s="366"/>
      <c r="I124" s="366"/>
      <c r="J124" s="366"/>
      <c r="K124" s="366"/>
      <c r="L124" s="366"/>
      <c r="M124" s="366"/>
      <c r="N124" s="366"/>
      <c r="O124" s="366"/>
    </row>
    <row r="125" spans="3:15" ht="22.5" customHeight="1">
      <c r="C125" s="386"/>
      <c r="D125" s="366"/>
      <c r="E125" s="366"/>
      <c r="F125" s="366"/>
      <c r="G125" s="366"/>
      <c r="H125" s="366"/>
      <c r="I125" s="366"/>
      <c r="J125" s="366"/>
      <c r="K125" s="366"/>
      <c r="L125" s="366"/>
      <c r="M125" s="366"/>
      <c r="N125" s="366"/>
      <c r="O125" s="366"/>
    </row>
    <row r="126" spans="3:15" ht="22.5" customHeight="1">
      <c r="C126" s="386"/>
      <c r="D126" s="366"/>
      <c r="E126" s="366"/>
      <c r="F126" s="366"/>
      <c r="G126" s="366"/>
      <c r="H126" s="366"/>
      <c r="I126" s="366"/>
      <c r="J126" s="366"/>
      <c r="K126" s="366"/>
      <c r="L126" s="366"/>
      <c r="M126" s="366"/>
      <c r="N126" s="366"/>
      <c r="O126" s="366"/>
    </row>
    <row r="127" spans="3:15" ht="22.5" customHeight="1">
      <c r="C127" s="386"/>
      <c r="D127" s="366"/>
      <c r="E127" s="366"/>
      <c r="F127" s="366"/>
      <c r="G127" s="366"/>
      <c r="H127" s="366"/>
      <c r="I127" s="366"/>
      <c r="J127" s="366"/>
      <c r="K127" s="366"/>
      <c r="L127" s="366"/>
      <c r="M127" s="366"/>
      <c r="N127" s="366"/>
      <c r="O127" s="366"/>
    </row>
    <row r="128" spans="3:15" ht="22.5" customHeight="1">
      <c r="C128" s="386"/>
      <c r="D128" s="366"/>
      <c r="E128" s="366"/>
      <c r="F128" s="366"/>
      <c r="G128" s="366"/>
      <c r="H128" s="366"/>
      <c r="I128" s="366"/>
      <c r="J128" s="366"/>
      <c r="K128" s="366"/>
      <c r="L128" s="366"/>
      <c r="M128" s="366"/>
      <c r="N128" s="366"/>
      <c r="O128" s="366"/>
    </row>
    <row r="129" spans="3:15" ht="22.5" customHeight="1">
      <c r="C129" s="386"/>
      <c r="D129" s="366"/>
      <c r="E129" s="366"/>
      <c r="F129" s="366"/>
      <c r="G129" s="366"/>
      <c r="H129" s="366"/>
      <c r="I129" s="366"/>
      <c r="J129" s="366"/>
      <c r="K129" s="366"/>
      <c r="L129" s="366"/>
      <c r="M129" s="366"/>
      <c r="N129" s="366"/>
      <c r="O129" s="366"/>
    </row>
    <row r="130" spans="3:15" ht="22.5" customHeight="1">
      <c r="C130" s="386"/>
      <c r="D130" s="366"/>
      <c r="E130" s="366"/>
      <c r="F130" s="366"/>
      <c r="G130" s="366"/>
      <c r="H130" s="366"/>
      <c r="I130" s="366"/>
      <c r="J130" s="366"/>
      <c r="K130" s="366"/>
      <c r="L130" s="366"/>
      <c r="M130" s="366"/>
      <c r="N130" s="366"/>
      <c r="O130" s="366"/>
    </row>
    <row r="131" spans="3:15" ht="22.5" customHeight="1">
      <c r="C131" s="386"/>
      <c r="D131" s="366"/>
      <c r="E131" s="366"/>
      <c r="F131" s="366"/>
      <c r="G131" s="366"/>
      <c r="H131" s="366"/>
      <c r="I131" s="366"/>
      <c r="J131" s="366"/>
      <c r="K131" s="366"/>
      <c r="L131" s="366"/>
      <c r="M131" s="366"/>
      <c r="N131" s="366"/>
      <c r="O131" s="366"/>
    </row>
    <row r="132" spans="3:15" ht="22.5" customHeight="1">
      <c r="C132" s="386"/>
      <c r="D132" s="366"/>
      <c r="E132" s="366"/>
      <c r="F132" s="366"/>
      <c r="G132" s="366"/>
      <c r="H132" s="366"/>
      <c r="I132" s="366"/>
      <c r="J132" s="366"/>
      <c r="K132" s="366"/>
      <c r="L132" s="366"/>
      <c r="M132" s="366"/>
      <c r="N132" s="366"/>
      <c r="O132" s="366"/>
    </row>
    <row r="133" spans="3:15" ht="22.5" customHeight="1">
      <c r="C133" s="386"/>
      <c r="D133" s="366"/>
      <c r="E133" s="366"/>
      <c r="F133" s="366"/>
      <c r="G133" s="366"/>
      <c r="H133" s="366"/>
      <c r="I133" s="366"/>
      <c r="J133" s="366"/>
      <c r="K133" s="366"/>
      <c r="L133" s="366"/>
      <c r="M133" s="366"/>
      <c r="N133" s="366"/>
      <c r="O133" s="366"/>
    </row>
    <row r="134" spans="3:15" ht="22.5" customHeight="1">
      <c r="C134" s="386"/>
      <c r="D134" s="366"/>
      <c r="E134" s="366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</row>
    <row r="135" spans="3:15" ht="22.5" customHeight="1">
      <c r="C135" s="386"/>
      <c r="D135" s="366"/>
      <c r="E135" s="366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</row>
    <row r="136" spans="3:15" ht="22.5" customHeight="1">
      <c r="C136" s="386"/>
      <c r="D136" s="366"/>
      <c r="E136" s="366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</row>
    <row r="137" spans="3:15" ht="22.5" customHeight="1">
      <c r="C137" s="386"/>
      <c r="D137" s="366"/>
      <c r="E137" s="366"/>
      <c r="F137" s="366"/>
      <c r="G137" s="366"/>
      <c r="H137" s="366"/>
      <c r="I137" s="366"/>
      <c r="J137" s="366"/>
      <c r="K137" s="366"/>
      <c r="L137" s="366"/>
      <c r="M137" s="366"/>
      <c r="N137" s="366"/>
      <c r="O137" s="366"/>
    </row>
    <row r="138" spans="3:15" ht="22.5" customHeight="1">
      <c r="C138" s="386"/>
      <c r="D138" s="366"/>
      <c r="E138" s="366"/>
      <c r="F138" s="366"/>
      <c r="G138" s="366"/>
      <c r="H138" s="366"/>
      <c r="I138" s="366"/>
      <c r="J138" s="366"/>
      <c r="K138" s="366"/>
      <c r="L138" s="366"/>
      <c r="M138" s="366"/>
      <c r="N138" s="366"/>
      <c r="O138" s="366"/>
    </row>
    <row r="139" spans="3:15" ht="22.5" customHeight="1">
      <c r="C139" s="386"/>
      <c r="D139" s="366"/>
      <c r="E139" s="366"/>
      <c r="F139" s="366"/>
      <c r="G139" s="366"/>
      <c r="H139" s="366"/>
      <c r="I139" s="366"/>
      <c r="J139" s="366"/>
      <c r="K139" s="366"/>
      <c r="L139" s="366"/>
      <c r="M139" s="366"/>
      <c r="N139" s="366"/>
      <c r="O139" s="366"/>
    </row>
    <row r="140" spans="3:15" ht="22.5" customHeight="1">
      <c r="C140" s="386"/>
      <c r="D140" s="366"/>
      <c r="E140" s="366"/>
      <c r="F140" s="366"/>
      <c r="G140" s="366"/>
      <c r="H140" s="366"/>
      <c r="I140" s="366"/>
      <c r="J140" s="366"/>
      <c r="K140" s="366"/>
      <c r="L140" s="366"/>
      <c r="M140" s="366"/>
      <c r="N140" s="366"/>
      <c r="O140" s="366"/>
    </row>
    <row r="141" spans="3:15" ht="22.5" customHeight="1">
      <c r="C141" s="386"/>
      <c r="D141" s="366"/>
      <c r="E141" s="366"/>
      <c r="F141" s="366"/>
      <c r="G141" s="366"/>
      <c r="H141" s="366"/>
      <c r="I141" s="366"/>
      <c r="J141" s="366"/>
      <c r="K141" s="366"/>
      <c r="L141" s="366"/>
      <c r="M141" s="366"/>
      <c r="N141" s="366"/>
      <c r="O141" s="366"/>
    </row>
    <row r="142" spans="3:15" ht="22.5" customHeight="1">
      <c r="C142" s="386"/>
      <c r="D142" s="366"/>
      <c r="E142" s="366"/>
      <c r="F142" s="366"/>
      <c r="G142" s="366"/>
      <c r="H142" s="366"/>
      <c r="I142" s="366"/>
      <c r="J142" s="366"/>
      <c r="K142" s="366"/>
      <c r="L142" s="366"/>
      <c r="M142" s="366"/>
      <c r="N142" s="366"/>
      <c r="O142" s="366"/>
    </row>
    <row r="143" spans="3:15" ht="22.5" customHeight="1">
      <c r="C143" s="386"/>
      <c r="D143" s="366"/>
      <c r="E143" s="366"/>
      <c r="F143" s="366"/>
      <c r="G143" s="366"/>
      <c r="H143" s="366"/>
      <c r="I143" s="366"/>
      <c r="J143" s="366"/>
      <c r="K143" s="366"/>
      <c r="L143" s="366"/>
      <c r="M143" s="366"/>
      <c r="N143" s="366"/>
      <c r="O143" s="366"/>
    </row>
    <row r="144" spans="3:15" ht="22.5" customHeight="1">
      <c r="C144" s="386"/>
      <c r="D144" s="366"/>
      <c r="E144" s="366"/>
      <c r="F144" s="366"/>
      <c r="G144" s="366"/>
      <c r="H144" s="366"/>
      <c r="I144" s="366"/>
      <c r="J144" s="366"/>
      <c r="K144" s="366"/>
      <c r="L144" s="366"/>
      <c r="M144" s="366"/>
      <c r="N144" s="366"/>
      <c r="O144" s="366"/>
    </row>
    <row r="145" spans="3:15" ht="22.5" customHeight="1">
      <c r="C145" s="386"/>
      <c r="D145" s="366"/>
      <c r="E145" s="366"/>
      <c r="F145" s="366"/>
      <c r="G145" s="366"/>
      <c r="H145" s="366"/>
      <c r="I145" s="366"/>
      <c r="J145" s="366"/>
      <c r="K145" s="366"/>
      <c r="L145" s="366"/>
      <c r="M145" s="366"/>
      <c r="N145" s="366"/>
      <c r="O145" s="366"/>
    </row>
    <row r="146" spans="3:15" ht="22.5" customHeight="1">
      <c r="C146" s="386"/>
      <c r="D146" s="366"/>
      <c r="E146" s="366"/>
      <c r="F146" s="366"/>
      <c r="G146" s="366"/>
      <c r="H146" s="366"/>
      <c r="I146" s="366"/>
      <c r="J146" s="366"/>
      <c r="K146" s="366"/>
      <c r="L146" s="366"/>
      <c r="M146" s="366"/>
      <c r="N146" s="366"/>
      <c r="O146" s="366"/>
    </row>
    <row r="147" spans="3:15" ht="22.5" customHeight="1">
      <c r="C147" s="386"/>
      <c r="D147" s="366"/>
      <c r="E147" s="366"/>
      <c r="F147" s="366"/>
      <c r="G147" s="366"/>
      <c r="H147" s="366"/>
      <c r="I147" s="366"/>
      <c r="J147" s="366"/>
      <c r="K147" s="366"/>
      <c r="L147" s="366"/>
      <c r="M147" s="366"/>
      <c r="N147" s="366"/>
      <c r="O147" s="366"/>
    </row>
    <row r="148" spans="3:15" ht="22.5" customHeight="1">
      <c r="C148" s="386"/>
      <c r="D148" s="366"/>
      <c r="E148" s="366"/>
      <c r="F148" s="366"/>
      <c r="G148" s="366"/>
      <c r="H148" s="366"/>
      <c r="I148" s="366"/>
      <c r="J148" s="366"/>
      <c r="K148" s="366"/>
      <c r="L148" s="366"/>
      <c r="M148" s="366"/>
      <c r="N148" s="366"/>
      <c r="O148" s="366"/>
    </row>
    <row r="149" spans="3:15" ht="22.5" customHeight="1">
      <c r="C149" s="386"/>
      <c r="D149" s="366"/>
      <c r="E149" s="366"/>
      <c r="F149" s="366"/>
      <c r="G149" s="366"/>
      <c r="H149" s="366"/>
      <c r="I149" s="366"/>
      <c r="J149" s="366"/>
      <c r="K149" s="366"/>
      <c r="L149" s="366"/>
      <c r="M149" s="366"/>
      <c r="N149" s="366"/>
      <c r="O149" s="366"/>
    </row>
    <row r="150" spans="3:15" ht="22.5" customHeight="1">
      <c r="C150" s="386"/>
      <c r="D150" s="366"/>
      <c r="E150" s="366"/>
      <c r="F150" s="366"/>
      <c r="G150" s="366"/>
      <c r="H150" s="366"/>
      <c r="I150" s="366"/>
      <c r="J150" s="366"/>
      <c r="K150" s="366"/>
      <c r="L150" s="366"/>
      <c r="M150" s="366"/>
      <c r="N150" s="366"/>
      <c r="O150" s="366"/>
    </row>
    <row r="151" spans="3:15" ht="22.5" customHeight="1">
      <c r="C151" s="386"/>
      <c r="D151" s="366"/>
      <c r="E151" s="366"/>
      <c r="F151" s="366"/>
      <c r="G151" s="366"/>
      <c r="H151" s="366"/>
      <c r="I151" s="366"/>
      <c r="J151" s="366"/>
      <c r="K151" s="366"/>
      <c r="L151" s="366"/>
      <c r="M151" s="366"/>
      <c r="N151" s="366"/>
      <c r="O151" s="366"/>
    </row>
    <row r="152" spans="3:15" ht="22.5" customHeight="1">
      <c r="C152" s="386"/>
      <c r="D152" s="366"/>
      <c r="E152" s="366"/>
      <c r="F152" s="366"/>
      <c r="G152" s="366"/>
      <c r="H152" s="366"/>
      <c r="I152" s="366"/>
      <c r="J152" s="366"/>
      <c r="K152" s="366"/>
      <c r="L152" s="366"/>
      <c r="M152" s="366"/>
      <c r="N152" s="366"/>
      <c r="O152" s="366"/>
    </row>
    <row r="153" spans="3:15" ht="22.5" customHeight="1">
      <c r="C153" s="386"/>
      <c r="D153" s="366"/>
      <c r="E153" s="366"/>
      <c r="F153" s="366"/>
      <c r="G153" s="366"/>
      <c r="H153" s="366"/>
      <c r="I153" s="366"/>
      <c r="J153" s="366"/>
      <c r="K153" s="366"/>
      <c r="L153" s="366"/>
      <c r="M153" s="366"/>
      <c r="N153" s="366"/>
      <c r="O153" s="366"/>
    </row>
    <row r="154" spans="3:15" ht="22.5" customHeight="1">
      <c r="C154" s="386"/>
      <c r="D154" s="366"/>
      <c r="E154" s="366"/>
      <c r="F154" s="366"/>
      <c r="G154" s="366"/>
      <c r="H154" s="366"/>
      <c r="I154" s="366"/>
      <c r="J154" s="366"/>
      <c r="K154" s="366"/>
      <c r="L154" s="366"/>
      <c r="M154" s="366"/>
      <c r="N154" s="366"/>
      <c r="O154" s="366"/>
    </row>
    <row r="155" spans="3:15" ht="22.5" customHeight="1">
      <c r="C155" s="386"/>
      <c r="D155" s="366"/>
      <c r="E155" s="366"/>
      <c r="F155" s="366"/>
      <c r="G155" s="366"/>
      <c r="H155" s="366"/>
      <c r="I155" s="366"/>
      <c r="J155" s="366"/>
      <c r="K155" s="366"/>
      <c r="L155" s="366"/>
      <c r="M155" s="366"/>
      <c r="N155" s="366"/>
      <c r="O155" s="366"/>
    </row>
    <row r="156" spans="3:15" ht="22.5" customHeight="1">
      <c r="C156" s="386"/>
      <c r="D156" s="366"/>
      <c r="E156" s="366"/>
      <c r="F156" s="366"/>
      <c r="G156" s="366"/>
      <c r="H156" s="366"/>
      <c r="I156" s="366"/>
      <c r="J156" s="366"/>
      <c r="K156" s="366"/>
      <c r="L156" s="366"/>
      <c r="M156" s="366"/>
      <c r="N156" s="366"/>
      <c r="O156" s="366"/>
    </row>
    <row r="157" spans="3:15" ht="22.5" customHeight="1">
      <c r="C157" s="386"/>
      <c r="D157" s="366"/>
      <c r="E157" s="366"/>
      <c r="F157" s="366"/>
      <c r="G157" s="366"/>
      <c r="H157" s="366"/>
      <c r="I157" s="366"/>
      <c r="J157" s="366"/>
      <c r="K157" s="366"/>
      <c r="L157" s="366"/>
      <c r="M157" s="366"/>
      <c r="N157" s="366"/>
      <c r="O157" s="366"/>
    </row>
    <row r="158" spans="3:15" ht="22.5" customHeight="1">
      <c r="C158" s="386"/>
      <c r="D158" s="366"/>
      <c r="E158" s="366"/>
      <c r="F158" s="366"/>
      <c r="G158" s="366"/>
      <c r="H158" s="366"/>
      <c r="I158" s="366"/>
      <c r="J158" s="366"/>
      <c r="K158" s="366"/>
      <c r="L158" s="366"/>
      <c r="M158" s="366"/>
      <c r="N158" s="366"/>
      <c r="O158" s="366"/>
    </row>
    <row r="159" spans="3:15" ht="22.5" customHeight="1">
      <c r="C159" s="386"/>
      <c r="D159" s="366"/>
      <c r="E159" s="366"/>
      <c r="F159" s="366"/>
      <c r="G159" s="366"/>
      <c r="H159" s="366"/>
      <c r="I159" s="366"/>
      <c r="J159" s="366"/>
      <c r="K159" s="366"/>
      <c r="L159" s="366"/>
      <c r="M159" s="366"/>
      <c r="N159" s="366"/>
      <c r="O159" s="366"/>
    </row>
    <row r="160" spans="3:15" ht="22.5" customHeight="1">
      <c r="C160" s="386"/>
      <c r="D160" s="366"/>
      <c r="E160" s="366"/>
      <c r="F160" s="366"/>
      <c r="G160" s="366"/>
      <c r="H160" s="366"/>
      <c r="I160" s="366"/>
      <c r="J160" s="366"/>
      <c r="K160" s="366"/>
      <c r="L160" s="366"/>
      <c r="M160" s="366"/>
      <c r="N160" s="366"/>
      <c r="O160" s="366"/>
    </row>
    <row r="161" spans="3:15" ht="22.5" customHeight="1">
      <c r="C161" s="386"/>
      <c r="D161" s="366"/>
      <c r="E161" s="366"/>
      <c r="F161" s="366"/>
      <c r="G161" s="366"/>
      <c r="H161" s="366"/>
      <c r="I161" s="366"/>
      <c r="J161" s="366"/>
      <c r="K161" s="366"/>
      <c r="L161" s="366"/>
      <c r="M161" s="366"/>
      <c r="N161" s="366"/>
      <c r="O161" s="366"/>
    </row>
    <row r="162" spans="3:15" ht="22.5" customHeight="1">
      <c r="C162" s="386"/>
      <c r="D162" s="366"/>
      <c r="E162" s="366"/>
      <c r="F162" s="366"/>
      <c r="G162" s="366"/>
      <c r="H162" s="366"/>
      <c r="I162" s="366"/>
      <c r="J162" s="366"/>
      <c r="K162" s="366"/>
      <c r="L162" s="366"/>
      <c r="M162" s="366"/>
      <c r="N162" s="366"/>
      <c r="O162" s="366"/>
    </row>
    <row r="163" spans="3:15" ht="22.5" customHeight="1">
      <c r="C163" s="386"/>
      <c r="D163" s="366"/>
      <c r="E163" s="366"/>
      <c r="F163" s="366"/>
      <c r="G163" s="366"/>
      <c r="H163" s="366"/>
      <c r="I163" s="366"/>
      <c r="J163" s="366"/>
      <c r="K163" s="366"/>
      <c r="L163" s="366"/>
      <c r="M163" s="366"/>
      <c r="N163" s="366"/>
      <c r="O163" s="366"/>
    </row>
    <row r="164" spans="3:15" ht="22.5" customHeight="1">
      <c r="C164" s="386"/>
      <c r="D164" s="366"/>
      <c r="E164" s="366"/>
      <c r="F164" s="366"/>
      <c r="G164" s="366"/>
      <c r="H164" s="366"/>
      <c r="I164" s="366"/>
      <c r="J164" s="366"/>
      <c r="K164" s="366"/>
      <c r="L164" s="366"/>
      <c r="M164" s="366"/>
      <c r="N164" s="366"/>
      <c r="O164" s="366"/>
    </row>
    <row r="165" spans="3:15" ht="22.5" customHeight="1">
      <c r="C165" s="386"/>
      <c r="D165" s="366"/>
      <c r="E165" s="366"/>
      <c r="F165" s="366"/>
      <c r="G165" s="366"/>
      <c r="H165" s="366"/>
      <c r="I165" s="366"/>
      <c r="J165" s="366"/>
      <c r="K165" s="366"/>
      <c r="L165" s="366"/>
      <c r="M165" s="366"/>
      <c r="N165" s="366"/>
      <c r="O165" s="366"/>
    </row>
    <row r="166" spans="3:15" ht="22.5" customHeight="1">
      <c r="C166" s="386"/>
      <c r="D166" s="366"/>
      <c r="E166" s="366"/>
      <c r="F166" s="366"/>
      <c r="G166" s="366"/>
      <c r="H166" s="366"/>
      <c r="I166" s="366"/>
      <c r="J166" s="366"/>
      <c r="K166" s="366"/>
      <c r="L166" s="366"/>
      <c r="M166" s="366"/>
      <c r="N166" s="366"/>
      <c r="O166" s="366"/>
    </row>
    <row r="167" spans="3:15" ht="22.5" customHeight="1">
      <c r="C167" s="386"/>
      <c r="D167" s="366"/>
      <c r="E167" s="366"/>
      <c r="F167" s="366"/>
      <c r="G167" s="366"/>
      <c r="H167" s="366"/>
      <c r="I167" s="366"/>
      <c r="J167" s="366"/>
      <c r="K167" s="366"/>
      <c r="L167" s="366"/>
      <c r="M167" s="366"/>
      <c r="N167" s="366"/>
      <c r="O167" s="366"/>
    </row>
    <row r="168" spans="3:15" ht="22.5" customHeight="1">
      <c r="C168" s="386"/>
      <c r="D168" s="366"/>
      <c r="E168" s="366"/>
      <c r="F168" s="366"/>
      <c r="G168" s="366"/>
      <c r="H168" s="366"/>
      <c r="I168" s="366"/>
      <c r="J168" s="366"/>
      <c r="K168" s="366"/>
      <c r="L168" s="366"/>
      <c r="M168" s="366"/>
      <c r="N168" s="366"/>
      <c r="O168" s="366"/>
    </row>
    <row r="169" spans="3:15" ht="22.5" customHeight="1">
      <c r="C169" s="386"/>
      <c r="D169" s="366"/>
      <c r="E169" s="366"/>
      <c r="F169" s="366"/>
      <c r="G169" s="366"/>
      <c r="H169" s="366"/>
      <c r="I169" s="366"/>
      <c r="J169" s="366"/>
      <c r="K169" s="366"/>
      <c r="L169" s="366"/>
      <c r="M169" s="366"/>
      <c r="N169" s="366"/>
      <c r="O169" s="366"/>
    </row>
    <row r="170" spans="3:15" ht="22.5" customHeight="1">
      <c r="C170" s="386"/>
      <c r="D170" s="366"/>
      <c r="E170" s="366"/>
      <c r="F170" s="366"/>
      <c r="G170" s="366"/>
      <c r="H170" s="366"/>
      <c r="I170" s="366"/>
      <c r="J170" s="366"/>
      <c r="K170" s="366"/>
      <c r="L170" s="366"/>
      <c r="M170" s="366"/>
      <c r="N170" s="366"/>
      <c r="O170" s="366"/>
    </row>
    <row r="171" spans="3:15" ht="22.5" customHeight="1">
      <c r="C171" s="386"/>
      <c r="D171" s="366"/>
      <c r="E171" s="366"/>
      <c r="F171" s="366"/>
      <c r="G171" s="366"/>
      <c r="H171" s="366"/>
      <c r="I171" s="366"/>
      <c r="J171" s="366"/>
      <c r="K171" s="366"/>
      <c r="L171" s="366"/>
      <c r="M171" s="366"/>
      <c r="N171" s="366"/>
      <c r="O171" s="366"/>
    </row>
    <row r="172" spans="3:15" ht="22.5" customHeight="1">
      <c r="C172" s="386"/>
      <c r="D172" s="366"/>
      <c r="E172" s="366"/>
      <c r="F172" s="366"/>
      <c r="G172" s="366"/>
      <c r="H172" s="366"/>
      <c r="I172" s="366"/>
      <c r="J172" s="366"/>
      <c r="K172" s="366"/>
      <c r="L172" s="366"/>
      <c r="M172" s="366"/>
      <c r="N172" s="366"/>
      <c r="O172" s="366"/>
    </row>
    <row r="173" spans="3:15" ht="22.5" customHeight="1">
      <c r="C173" s="386"/>
      <c r="D173" s="366"/>
      <c r="E173" s="366"/>
      <c r="F173" s="366"/>
      <c r="G173" s="366"/>
      <c r="H173" s="366"/>
      <c r="I173" s="366"/>
      <c r="J173" s="366"/>
      <c r="K173" s="366"/>
      <c r="L173" s="366"/>
      <c r="M173" s="366"/>
      <c r="N173" s="366"/>
      <c r="O173" s="366"/>
    </row>
    <row r="174" spans="3:15" ht="22.5" customHeight="1">
      <c r="C174" s="386"/>
      <c r="D174" s="366"/>
      <c r="E174" s="366"/>
      <c r="F174" s="366"/>
      <c r="G174" s="366"/>
      <c r="H174" s="366"/>
      <c r="I174" s="366"/>
      <c r="J174" s="366"/>
      <c r="K174" s="366"/>
      <c r="L174" s="366"/>
      <c r="M174" s="366"/>
      <c r="N174" s="366"/>
      <c r="O174" s="366"/>
    </row>
    <row r="175" spans="3:15" ht="22.5" customHeight="1">
      <c r="C175" s="386"/>
      <c r="D175" s="366"/>
      <c r="E175" s="366"/>
      <c r="F175" s="366"/>
      <c r="G175" s="366"/>
      <c r="H175" s="366"/>
      <c r="I175" s="366"/>
      <c r="J175" s="366"/>
      <c r="K175" s="366"/>
      <c r="L175" s="366"/>
      <c r="M175" s="366"/>
      <c r="N175" s="366"/>
      <c r="O175" s="366"/>
    </row>
    <row r="176" spans="3:15" ht="22.5" customHeight="1">
      <c r="C176" s="386"/>
      <c r="D176" s="366"/>
      <c r="E176" s="366"/>
      <c r="F176" s="366"/>
      <c r="G176" s="366"/>
      <c r="H176" s="366"/>
      <c r="I176" s="366"/>
      <c r="J176" s="366"/>
      <c r="K176" s="366"/>
      <c r="L176" s="366"/>
      <c r="M176" s="366"/>
      <c r="N176" s="366"/>
      <c r="O176" s="366"/>
    </row>
    <row r="177" spans="3:15" ht="22.5" customHeight="1">
      <c r="C177" s="386"/>
      <c r="D177" s="366"/>
      <c r="E177" s="366"/>
      <c r="F177" s="366"/>
      <c r="G177" s="366"/>
      <c r="H177" s="366"/>
      <c r="I177" s="366"/>
      <c r="J177" s="366"/>
      <c r="K177" s="366"/>
      <c r="L177" s="366"/>
      <c r="M177" s="366"/>
      <c r="N177" s="366"/>
      <c r="O177" s="366"/>
    </row>
    <row r="178" spans="3:15" ht="22.5" customHeight="1">
      <c r="C178" s="386"/>
      <c r="D178" s="366"/>
      <c r="E178" s="366"/>
      <c r="F178" s="366"/>
      <c r="G178" s="366"/>
      <c r="H178" s="366"/>
      <c r="I178" s="366"/>
      <c r="J178" s="366"/>
      <c r="K178" s="366"/>
      <c r="L178" s="366"/>
      <c r="M178" s="366"/>
      <c r="N178" s="366"/>
      <c r="O178" s="366"/>
    </row>
    <row r="179" spans="3:15" ht="22.5" customHeight="1">
      <c r="C179" s="386"/>
      <c r="D179" s="366"/>
      <c r="E179" s="366"/>
      <c r="F179" s="366"/>
      <c r="G179" s="366"/>
      <c r="H179" s="366"/>
      <c r="I179" s="366"/>
      <c r="J179" s="366"/>
      <c r="K179" s="366"/>
      <c r="L179" s="366"/>
      <c r="M179" s="366"/>
      <c r="N179" s="366"/>
      <c r="O179" s="366"/>
    </row>
    <row r="180" spans="3:15" ht="22.5" customHeight="1">
      <c r="C180" s="386"/>
      <c r="D180" s="366"/>
      <c r="E180" s="366"/>
      <c r="F180" s="366"/>
      <c r="G180" s="366"/>
      <c r="H180" s="366"/>
      <c r="I180" s="366"/>
      <c r="J180" s="366"/>
      <c r="K180" s="366"/>
      <c r="L180" s="366"/>
      <c r="M180" s="366"/>
      <c r="N180" s="366"/>
      <c r="O180" s="366"/>
    </row>
    <row r="181" spans="3:15" ht="22.5" customHeight="1">
      <c r="C181" s="386"/>
      <c r="D181" s="366"/>
      <c r="E181" s="366"/>
      <c r="F181" s="366"/>
      <c r="G181" s="366"/>
      <c r="H181" s="366"/>
      <c r="I181" s="366"/>
      <c r="J181" s="366"/>
      <c r="K181" s="366"/>
      <c r="L181" s="366"/>
      <c r="M181" s="366"/>
      <c r="N181" s="366"/>
      <c r="O181" s="366"/>
    </row>
    <row r="182" spans="3:15" ht="22.5" customHeight="1">
      <c r="C182" s="386"/>
      <c r="D182" s="366"/>
      <c r="E182" s="366"/>
      <c r="F182" s="366"/>
      <c r="G182" s="366"/>
      <c r="H182" s="366"/>
      <c r="I182" s="366"/>
      <c r="J182" s="366"/>
      <c r="K182" s="366"/>
      <c r="L182" s="366"/>
      <c r="M182" s="366"/>
      <c r="N182" s="366"/>
      <c r="O182" s="366"/>
    </row>
    <row r="183" spans="3:15" ht="22.5" customHeight="1">
      <c r="C183" s="386"/>
      <c r="D183" s="366"/>
      <c r="E183" s="366"/>
      <c r="F183" s="366"/>
      <c r="G183" s="366"/>
      <c r="H183" s="366"/>
      <c r="I183" s="366"/>
      <c r="J183" s="366"/>
      <c r="K183" s="366"/>
      <c r="L183" s="366"/>
      <c r="M183" s="366"/>
      <c r="N183" s="366"/>
      <c r="O183" s="366"/>
    </row>
    <row r="184" spans="3:15" ht="22.5" customHeight="1">
      <c r="C184" s="386"/>
      <c r="D184" s="366"/>
      <c r="E184" s="366"/>
      <c r="F184" s="366"/>
      <c r="G184" s="366"/>
      <c r="H184" s="366"/>
      <c r="I184" s="366"/>
      <c r="J184" s="366"/>
      <c r="K184" s="366"/>
      <c r="L184" s="366"/>
      <c r="M184" s="366"/>
      <c r="N184" s="366"/>
      <c r="O184" s="366"/>
    </row>
    <row r="185" spans="3:15" ht="22.5" customHeight="1">
      <c r="C185" s="386"/>
      <c r="D185" s="366"/>
      <c r="E185" s="366"/>
      <c r="F185" s="366"/>
      <c r="G185" s="366"/>
      <c r="H185" s="366"/>
      <c r="I185" s="366"/>
      <c r="J185" s="366"/>
      <c r="K185" s="366"/>
      <c r="L185" s="366"/>
      <c r="M185" s="366"/>
      <c r="N185" s="366"/>
      <c r="O185" s="366"/>
    </row>
    <row r="186" spans="3:15" ht="22.5" customHeight="1">
      <c r="C186" s="386"/>
      <c r="D186" s="366"/>
      <c r="E186" s="366"/>
      <c r="F186" s="366"/>
      <c r="G186" s="366"/>
      <c r="H186" s="366"/>
      <c r="I186" s="366"/>
      <c r="J186" s="366"/>
      <c r="K186" s="366"/>
      <c r="L186" s="366"/>
      <c r="M186" s="366"/>
      <c r="N186" s="366"/>
      <c r="O186" s="366"/>
    </row>
    <row r="187" spans="3:15" ht="22.5" customHeight="1">
      <c r="C187" s="386"/>
      <c r="D187" s="366"/>
      <c r="E187" s="366"/>
      <c r="F187" s="366"/>
      <c r="G187" s="366"/>
      <c r="H187" s="366"/>
      <c r="I187" s="366"/>
      <c r="J187" s="366"/>
      <c r="K187" s="366"/>
      <c r="L187" s="366"/>
      <c r="M187" s="366"/>
      <c r="N187" s="366"/>
      <c r="O187" s="366"/>
    </row>
    <row r="188" spans="3:15" ht="22.5" customHeight="1">
      <c r="C188" s="386"/>
      <c r="D188" s="366"/>
      <c r="E188" s="366"/>
      <c r="F188" s="366"/>
      <c r="G188" s="366"/>
      <c r="H188" s="366"/>
      <c r="I188" s="366"/>
      <c r="J188" s="366"/>
      <c r="K188" s="366"/>
      <c r="L188" s="366"/>
      <c r="M188" s="366"/>
      <c r="N188" s="366"/>
      <c r="O188" s="366"/>
    </row>
    <row r="189" spans="3:15" ht="22.5" customHeight="1">
      <c r="C189" s="386"/>
      <c r="D189" s="366"/>
      <c r="E189" s="366"/>
      <c r="F189" s="366"/>
      <c r="G189" s="366"/>
      <c r="H189" s="366"/>
      <c r="I189" s="366"/>
      <c r="J189" s="366"/>
      <c r="K189" s="366"/>
      <c r="L189" s="366"/>
      <c r="M189" s="366"/>
      <c r="N189" s="366"/>
      <c r="O189" s="366"/>
    </row>
    <row r="190" spans="3:15" ht="22.5" customHeight="1">
      <c r="C190" s="386"/>
      <c r="D190" s="366"/>
      <c r="E190" s="366"/>
      <c r="F190" s="366"/>
      <c r="G190" s="366"/>
      <c r="H190" s="366"/>
      <c r="I190" s="366"/>
      <c r="J190" s="366"/>
      <c r="K190" s="366"/>
      <c r="L190" s="366"/>
      <c r="M190" s="366"/>
      <c r="N190" s="366"/>
      <c r="O190" s="366"/>
    </row>
    <row r="191" spans="3:15" ht="22.5" customHeight="1">
      <c r="C191" s="386"/>
      <c r="D191" s="366"/>
      <c r="E191" s="366"/>
      <c r="F191" s="366"/>
      <c r="G191" s="366"/>
      <c r="H191" s="366"/>
      <c r="I191" s="366"/>
      <c r="J191" s="366"/>
      <c r="K191" s="366"/>
      <c r="L191" s="366"/>
      <c r="M191" s="366"/>
      <c r="N191" s="366"/>
      <c r="O191" s="366"/>
    </row>
    <row r="192" spans="3:15" ht="22.5" customHeight="1">
      <c r="C192" s="386"/>
      <c r="D192" s="366"/>
      <c r="E192" s="366"/>
      <c r="F192" s="366"/>
      <c r="G192" s="366"/>
      <c r="H192" s="366"/>
      <c r="I192" s="366"/>
      <c r="J192" s="366"/>
      <c r="K192" s="366"/>
      <c r="L192" s="366"/>
      <c r="M192" s="366"/>
      <c r="N192" s="366"/>
      <c r="O192" s="366"/>
    </row>
    <row r="193" spans="3:15" ht="22.5" customHeight="1">
      <c r="C193" s="386"/>
      <c r="D193" s="366"/>
      <c r="E193" s="366"/>
      <c r="F193" s="366"/>
      <c r="G193" s="366"/>
      <c r="H193" s="366"/>
      <c r="I193" s="366"/>
      <c r="J193" s="366"/>
      <c r="K193" s="366"/>
      <c r="L193" s="366"/>
      <c r="M193" s="366"/>
      <c r="N193" s="366"/>
      <c r="O193" s="366"/>
    </row>
    <row r="194" spans="3:15" ht="22.5" customHeight="1">
      <c r="C194" s="386"/>
      <c r="D194" s="366"/>
      <c r="E194" s="366"/>
      <c r="F194" s="366"/>
      <c r="G194" s="366"/>
      <c r="H194" s="366"/>
      <c r="I194" s="366"/>
      <c r="J194" s="366"/>
      <c r="K194" s="366"/>
      <c r="L194" s="366"/>
      <c r="M194" s="366"/>
      <c r="N194" s="366"/>
      <c r="O194" s="366"/>
    </row>
    <row r="195" spans="3:15" ht="22.5" customHeight="1">
      <c r="C195" s="386"/>
      <c r="D195" s="366"/>
      <c r="E195" s="366"/>
      <c r="F195" s="366"/>
      <c r="G195" s="366"/>
      <c r="H195" s="366"/>
      <c r="I195" s="366"/>
      <c r="J195" s="366"/>
      <c r="K195" s="366"/>
      <c r="L195" s="366"/>
      <c r="M195" s="366"/>
      <c r="N195" s="366"/>
      <c r="O195" s="366"/>
    </row>
    <row r="196" spans="3:15" ht="22.5" customHeight="1">
      <c r="C196" s="386"/>
      <c r="D196" s="366"/>
      <c r="E196" s="366"/>
      <c r="F196" s="366"/>
      <c r="G196" s="366"/>
      <c r="H196" s="366"/>
      <c r="I196" s="366"/>
      <c r="J196" s="366"/>
      <c r="K196" s="366"/>
      <c r="L196" s="366"/>
      <c r="M196" s="366"/>
      <c r="N196" s="366"/>
      <c r="O196" s="366"/>
    </row>
    <row r="197" spans="3:15" ht="22.5" customHeight="1">
      <c r="C197" s="386"/>
      <c r="D197" s="366"/>
      <c r="E197" s="366"/>
      <c r="F197" s="366"/>
      <c r="G197" s="366"/>
      <c r="H197" s="366"/>
      <c r="I197" s="366"/>
      <c r="J197" s="366"/>
      <c r="K197" s="366"/>
      <c r="L197" s="366"/>
      <c r="M197" s="366"/>
      <c r="N197" s="366"/>
      <c r="O197" s="366"/>
    </row>
    <row r="198" spans="3:15" ht="22.5" customHeight="1">
      <c r="C198" s="386"/>
      <c r="D198" s="366"/>
      <c r="E198" s="366"/>
      <c r="F198" s="366"/>
      <c r="G198" s="366"/>
      <c r="H198" s="366"/>
      <c r="I198" s="366"/>
      <c r="J198" s="366"/>
      <c r="K198" s="366"/>
      <c r="L198" s="366"/>
      <c r="M198" s="366"/>
      <c r="N198" s="366"/>
      <c r="O198" s="366"/>
    </row>
    <row r="199" spans="3:15" ht="22.5" customHeight="1">
      <c r="C199" s="386"/>
      <c r="D199" s="366"/>
      <c r="E199" s="366"/>
      <c r="F199" s="366"/>
      <c r="G199" s="366"/>
      <c r="H199" s="366"/>
      <c r="I199" s="366"/>
      <c r="J199" s="366"/>
      <c r="K199" s="366"/>
      <c r="L199" s="366"/>
      <c r="M199" s="366"/>
      <c r="N199" s="366"/>
      <c r="O199" s="366"/>
    </row>
    <row r="200" spans="3:15" ht="22.5" customHeight="1">
      <c r="C200" s="386"/>
      <c r="D200" s="366"/>
      <c r="E200" s="366"/>
      <c r="F200" s="366"/>
      <c r="G200" s="366"/>
      <c r="H200" s="366"/>
      <c r="I200" s="366"/>
      <c r="J200" s="366"/>
      <c r="K200" s="366"/>
      <c r="L200" s="366"/>
      <c r="M200" s="366"/>
      <c r="N200" s="366"/>
      <c r="O200" s="366"/>
    </row>
    <row r="201" spans="3:15" ht="22.5" customHeight="1">
      <c r="C201" s="386"/>
      <c r="D201" s="366"/>
      <c r="E201" s="366"/>
      <c r="F201" s="366"/>
      <c r="G201" s="366"/>
      <c r="H201" s="366"/>
      <c r="I201" s="366"/>
      <c r="J201" s="366"/>
      <c r="K201" s="366"/>
      <c r="L201" s="366"/>
      <c r="M201" s="366"/>
      <c r="N201" s="366"/>
      <c r="O201" s="366"/>
    </row>
    <row r="202" spans="3:15" ht="22.5" customHeight="1">
      <c r="C202" s="386"/>
      <c r="D202" s="366"/>
      <c r="E202" s="366"/>
      <c r="F202" s="366"/>
      <c r="G202" s="366"/>
      <c r="H202" s="366"/>
      <c r="I202" s="366"/>
      <c r="J202" s="366"/>
      <c r="K202" s="366"/>
      <c r="L202" s="366"/>
      <c r="M202" s="366"/>
      <c r="N202" s="366"/>
      <c r="O202" s="366"/>
    </row>
    <row r="203" spans="3:15" ht="22.5" customHeight="1">
      <c r="C203" s="386"/>
      <c r="D203" s="366"/>
      <c r="E203" s="366"/>
      <c r="F203" s="366"/>
      <c r="G203" s="366"/>
      <c r="H203" s="366"/>
      <c r="I203" s="366"/>
      <c r="J203" s="366"/>
      <c r="K203" s="366"/>
      <c r="L203" s="366"/>
      <c r="M203" s="366"/>
      <c r="N203" s="366"/>
      <c r="O203" s="366"/>
    </row>
    <row r="204" spans="3:15" ht="22.5" customHeight="1">
      <c r="C204" s="386"/>
      <c r="D204" s="366"/>
      <c r="E204" s="366"/>
      <c r="F204" s="366"/>
      <c r="G204" s="366"/>
      <c r="H204" s="366"/>
      <c r="I204" s="366"/>
      <c r="J204" s="366"/>
      <c r="K204" s="366"/>
      <c r="L204" s="366"/>
      <c r="M204" s="366"/>
      <c r="N204" s="366"/>
      <c r="O204" s="366"/>
    </row>
    <row r="205" spans="3:15" ht="22.5" customHeight="1">
      <c r="C205" s="386"/>
      <c r="D205" s="366"/>
      <c r="E205" s="366"/>
      <c r="F205" s="366"/>
      <c r="G205" s="366"/>
      <c r="H205" s="366"/>
      <c r="I205" s="366"/>
      <c r="J205" s="366"/>
      <c r="K205" s="366"/>
      <c r="L205" s="366"/>
      <c r="M205" s="366"/>
      <c r="N205" s="366"/>
      <c r="O205" s="366"/>
    </row>
    <row r="206" spans="3:15" ht="22.5" customHeight="1">
      <c r="C206" s="386"/>
      <c r="D206" s="366"/>
      <c r="E206" s="366"/>
      <c r="F206" s="366"/>
      <c r="G206" s="366"/>
      <c r="H206" s="366"/>
      <c r="I206" s="366"/>
      <c r="J206" s="366"/>
      <c r="K206" s="366"/>
      <c r="L206" s="366"/>
      <c r="M206" s="366"/>
      <c r="N206" s="366"/>
      <c r="O206" s="366"/>
    </row>
    <row r="207" spans="3:15" ht="22.5" customHeight="1">
      <c r="C207" s="386"/>
      <c r="D207" s="366"/>
      <c r="E207" s="366"/>
      <c r="F207" s="366"/>
      <c r="G207" s="366"/>
      <c r="H207" s="366"/>
      <c r="I207" s="366"/>
      <c r="J207" s="366"/>
      <c r="K207" s="366"/>
      <c r="L207" s="366"/>
      <c r="M207" s="366"/>
      <c r="N207" s="366"/>
      <c r="O207" s="366"/>
    </row>
    <row r="208" spans="3:15" ht="22.5" customHeight="1">
      <c r="C208" s="386"/>
      <c r="D208" s="366"/>
      <c r="E208" s="366"/>
      <c r="F208" s="366"/>
      <c r="G208" s="366"/>
      <c r="H208" s="366"/>
      <c r="I208" s="366"/>
      <c r="J208" s="366"/>
      <c r="K208" s="366"/>
      <c r="L208" s="366"/>
      <c r="M208" s="366"/>
      <c r="N208" s="366"/>
      <c r="O208" s="366"/>
    </row>
    <row r="209" spans="3:15" ht="22.5" customHeight="1">
      <c r="C209" s="386"/>
      <c r="D209" s="366"/>
      <c r="E209" s="366"/>
      <c r="F209" s="366"/>
      <c r="G209" s="366"/>
      <c r="H209" s="366"/>
      <c r="I209" s="366"/>
      <c r="J209" s="366"/>
      <c r="K209" s="366"/>
      <c r="L209" s="366"/>
      <c r="M209" s="366"/>
      <c r="N209" s="366"/>
      <c r="O209" s="366"/>
    </row>
    <row r="210" spans="3:15" ht="22.5" customHeight="1">
      <c r="C210" s="386"/>
      <c r="D210" s="366"/>
      <c r="E210" s="366"/>
      <c r="F210" s="366"/>
      <c r="G210" s="366"/>
      <c r="H210" s="366"/>
      <c r="I210" s="366"/>
      <c r="J210" s="366"/>
      <c r="K210" s="366"/>
      <c r="L210" s="366"/>
      <c r="M210" s="366"/>
      <c r="N210" s="366"/>
      <c r="O210" s="366"/>
    </row>
    <row r="211" spans="3:15" ht="22.5" customHeight="1">
      <c r="C211" s="386"/>
      <c r="D211" s="366"/>
      <c r="E211" s="366"/>
      <c r="F211" s="366"/>
      <c r="G211" s="366"/>
      <c r="H211" s="366"/>
      <c r="I211" s="366"/>
      <c r="J211" s="366"/>
      <c r="K211" s="366"/>
      <c r="L211" s="366"/>
      <c r="M211" s="366"/>
      <c r="N211" s="366"/>
      <c r="O211" s="366"/>
    </row>
    <row r="212" spans="3:15" ht="22.5" customHeight="1">
      <c r="C212" s="386"/>
      <c r="D212" s="366"/>
      <c r="E212" s="366"/>
      <c r="F212" s="366"/>
      <c r="G212" s="366"/>
      <c r="H212" s="366"/>
      <c r="I212" s="366"/>
      <c r="J212" s="366"/>
      <c r="K212" s="366"/>
      <c r="L212" s="366"/>
      <c r="M212" s="366"/>
      <c r="N212" s="366"/>
      <c r="O212" s="366"/>
    </row>
    <row r="213" spans="3:15" ht="22.5" customHeight="1">
      <c r="C213" s="386"/>
      <c r="D213" s="366"/>
      <c r="E213" s="366"/>
      <c r="F213" s="366"/>
      <c r="G213" s="366"/>
      <c r="H213" s="366"/>
      <c r="I213" s="366"/>
      <c r="J213" s="366"/>
      <c r="K213" s="366"/>
      <c r="L213" s="366"/>
      <c r="M213" s="366"/>
      <c r="N213" s="366"/>
      <c r="O213" s="366"/>
    </row>
    <row r="214" spans="3:15" ht="22.5" customHeight="1">
      <c r="C214" s="386"/>
      <c r="D214" s="366"/>
      <c r="E214" s="366"/>
      <c r="F214" s="366"/>
      <c r="G214" s="366"/>
      <c r="H214" s="366"/>
      <c r="I214" s="366"/>
      <c r="J214" s="366"/>
      <c r="K214" s="366"/>
      <c r="L214" s="366"/>
      <c r="M214" s="366"/>
      <c r="N214" s="366"/>
      <c r="O214" s="366"/>
    </row>
    <row r="215" spans="3:15" ht="22.5" customHeight="1">
      <c r="C215" s="386"/>
      <c r="D215" s="366"/>
      <c r="E215" s="366"/>
      <c r="F215" s="366"/>
      <c r="G215" s="366"/>
      <c r="H215" s="366"/>
      <c r="I215" s="366"/>
      <c r="J215" s="366"/>
      <c r="K215" s="366"/>
      <c r="L215" s="366"/>
      <c r="M215" s="366"/>
      <c r="N215" s="366"/>
      <c r="O215" s="366"/>
    </row>
    <row r="216" spans="3:15" ht="22.5" customHeight="1">
      <c r="C216" s="386"/>
      <c r="D216" s="366"/>
      <c r="E216" s="366"/>
      <c r="F216" s="366"/>
      <c r="G216" s="366"/>
      <c r="H216" s="366"/>
      <c r="I216" s="366"/>
      <c r="J216" s="366"/>
      <c r="K216" s="366"/>
      <c r="L216" s="366"/>
      <c r="M216" s="366"/>
      <c r="N216" s="366"/>
      <c r="O216" s="366"/>
    </row>
    <row r="217" spans="3:15" ht="22.5" customHeight="1">
      <c r="C217" s="386"/>
      <c r="D217" s="366"/>
      <c r="E217" s="366"/>
      <c r="F217" s="366"/>
      <c r="G217" s="366"/>
      <c r="H217" s="366"/>
      <c r="I217" s="366"/>
      <c r="J217" s="366"/>
      <c r="K217" s="366"/>
      <c r="L217" s="366"/>
      <c r="M217" s="366"/>
      <c r="N217" s="366"/>
      <c r="O217" s="366"/>
    </row>
    <row r="218" spans="3:15" ht="22.5" customHeight="1">
      <c r="C218" s="386"/>
      <c r="D218" s="366"/>
      <c r="E218" s="366"/>
      <c r="F218" s="366"/>
      <c r="G218" s="366"/>
      <c r="H218" s="366"/>
      <c r="I218" s="366"/>
      <c r="J218" s="366"/>
      <c r="K218" s="366"/>
      <c r="L218" s="366"/>
      <c r="M218" s="366"/>
      <c r="N218" s="366"/>
      <c r="O218" s="366"/>
    </row>
    <row r="219" spans="3:15" ht="22.5" customHeight="1">
      <c r="C219" s="386"/>
      <c r="D219" s="366"/>
      <c r="E219" s="366"/>
      <c r="F219" s="366"/>
      <c r="G219" s="366"/>
      <c r="H219" s="366"/>
      <c r="I219" s="366"/>
      <c r="J219" s="366"/>
      <c r="K219" s="366"/>
      <c r="L219" s="366"/>
      <c r="M219" s="366"/>
      <c r="N219" s="366"/>
      <c r="O219" s="366"/>
    </row>
    <row r="220" spans="3:15" ht="22.5" customHeight="1">
      <c r="C220" s="386"/>
      <c r="D220" s="366"/>
      <c r="E220" s="366"/>
      <c r="F220" s="366"/>
      <c r="G220" s="366"/>
      <c r="H220" s="366"/>
      <c r="I220" s="366"/>
      <c r="J220" s="366"/>
      <c r="K220" s="366"/>
      <c r="L220" s="366"/>
      <c r="M220" s="366"/>
      <c r="N220" s="366"/>
      <c r="O220" s="366"/>
    </row>
    <row r="221" spans="3:15" ht="22.5" customHeight="1">
      <c r="C221" s="386"/>
      <c r="D221" s="366"/>
      <c r="E221" s="366"/>
      <c r="F221" s="366"/>
      <c r="G221" s="366"/>
      <c r="H221" s="366"/>
      <c r="I221" s="366"/>
      <c r="J221" s="366"/>
      <c r="K221" s="366"/>
      <c r="L221" s="366"/>
      <c r="M221" s="366"/>
      <c r="N221" s="366"/>
      <c r="O221" s="366"/>
    </row>
    <row r="222" spans="3:15" ht="22.5" customHeight="1">
      <c r="C222" s="386"/>
      <c r="D222" s="366"/>
      <c r="E222" s="366"/>
      <c r="F222" s="366"/>
      <c r="G222" s="366"/>
      <c r="H222" s="366"/>
      <c r="I222" s="366"/>
      <c r="J222" s="366"/>
      <c r="K222" s="366"/>
      <c r="L222" s="366"/>
      <c r="M222" s="366"/>
      <c r="N222" s="366"/>
      <c r="O222" s="366"/>
    </row>
    <row r="223" spans="3:15" ht="22.5" customHeight="1">
      <c r="C223" s="386"/>
      <c r="D223" s="366"/>
      <c r="E223" s="366"/>
      <c r="F223" s="366"/>
      <c r="G223" s="366"/>
      <c r="H223" s="366"/>
      <c r="I223" s="366"/>
      <c r="J223" s="366"/>
      <c r="K223" s="366"/>
      <c r="L223" s="366"/>
      <c r="M223" s="366"/>
      <c r="N223" s="366"/>
      <c r="O223" s="366"/>
    </row>
    <row r="224" spans="3:15" ht="22.5" customHeight="1">
      <c r="C224" s="386"/>
      <c r="D224" s="366"/>
      <c r="E224" s="366"/>
      <c r="F224" s="366"/>
      <c r="G224" s="366"/>
      <c r="H224" s="366"/>
      <c r="I224" s="366"/>
      <c r="J224" s="366"/>
      <c r="K224" s="366"/>
      <c r="L224" s="366"/>
      <c r="M224" s="366"/>
      <c r="N224" s="366"/>
      <c r="O224" s="366"/>
    </row>
    <row r="225" spans="3:15" ht="22.5" customHeight="1">
      <c r="C225" s="386"/>
      <c r="D225" s="366"/>
      <c r="E225" s="366"/>
      <c r="F225" s="366"/>
      <c r="G225" s="366"/>
      <c r="H225" s="366"/>
      <c r="I225" s="366"/>
      <c r="J225" s="366"/>
      <c r="K225" s="366"/>
      <c r="L225" s="366"/>
      <c r="M225" s="366"/>
      <c r="N225" s="366"/>
      <c r="O225" s="366"/>
    </row>
    <row r="226" spans="3:15" ht="22.5" customHeight="1">
      <c r="C226" s="386"/>
      <c r="D226" s="366"/>
      <c r="E226" s="366"/>
      <c r="F226" s="366"/>
      <c r="G226" s="366"/>
      <c r="H226" s="366"/>
      <c r="I226" s="366"/>
      <c r="J226" s="366"/>
      <c r="K226" s="366"/>
      <c r="L226" s="366"/>
      <c r="M226" s="366"/>
      <c r="N226" s="366"/>
      <c r="O226" s="366"/>
    </row>
    <row r="227" spans="3:15" ht="22.5" customHeight="1">
      <c r="C227" s="386"/>
      <c r="D227" s="366"/>
      <c r="E227" s="366"/>
      <c r="F227" s="366"/>
      <c r="G227" s="366"/>
      <c r="H227" s="366"/>
      <c r="I227" s="366"/>
      <c r="J227" s="366"/>
      <c r="K227" s="366"/>
      <c r="L227" s="366"/>
      <c r="M227" s="366"/>
      <c r="N227" s="366"/>
      <c r="O227" s="366"/>
    </row>
    <row r="228" spans="3:15" ht="22.5" customHeight="1">
      <c r="C228" s="386"/>
      <c r="D228" s="366"/>
      <c r="E228" s="366"/>
      <c r="F228" s="366"/>
      <c r="G228" s="366"/>
      <c r="H228" s="366"/>
      <c r="I228" s="366"/>
      <c r="J228" s="366"/>
      <c r="K228" s="366"/>
      <c r="L228" s="366"/>
      <c r="M228" s="366"/>
      <c r="N228" s="366"/>
      <c r="O228" s="366"/>
    </row>
    <row r="229" spans="3:15" ht="22.5" customHeight="1">
      <c r="C229" s="386"/>
      <c r="D229" s="366"/>
      <c r="E229" s="366"/>
      <c r="F229" s="366"/>
      <c r="G229" s="366"/>
      <c r="H229" s="366"/>
      <c r="I229" s="366"/>
      <c r="J229" s="366"/>
      <c r="K229" s="366"/>
      <c r="L229" s="366"/>
      <c r="M229" s="366"/>
      <c r="N229" s="366"/>
      <c r="O229" s="366"/>
    </row>
    <row r="230" spans="3:15" ht="22.5" customHeight="1">
      <c r="C230" s="386"/>
      <c r="D230" s="366"/>
      <c r="E230" s="366"/>
      <c r="F230" s="366"/>
      <c r="G230" s="366"/>
      <c r="H230" s="366"/>
      <c r="I230" s="366"/>
      <c r="J230" s="366"/>
      <c r="K230" s="366"/>
      <c r="L230" s="366"/>
      <c r="M230" s="366"/>
      <c r="N230" s="366"/>
      <c r="O230" s="366"/>
    </row>
    <row r="231" spans="3:15" ht="22.5" customHeight="1">
      <c r="C231" s="386"/>
      <c r="D231" s="366"/>
      <c r="E231" s="366"/>
      <c r="F231" s="366"/>
      <c r="G231" s="366"/>
      <c r="H231" s="366"/>
      <c r="I231" s="366"/>
      <c r="J231" s="366"/>
      <c r="K231" s="366"/>
      <c r="L231" s="366"/>
      <c r="M231" s="366"/>
      <c r="N231" s="366"/>
      <c r="O231" s="366"/>
    </row>
    <row r="232" spans="3:15" ht="22.5" customHeight="1">
      <c r="C232" s="386"/>
      <c r="D232" s="366"/>
      <c r="E232" s="366"/>
      <c r="F232" s="366"/>
      <c r="G232" s="366"/>
      <c r="H232" s="366"/>
      <c r="I232" s="366"/>
      <c r="J232" s="366"/>
      <c r="K232" s="366"/>
      <c r="L232" s="366"/>
      <c r="M232" s="366"/>
      <c r="N232" s="366"/>
      <c r="O232" s="366"/>
    </row>
    <row r="233" spans="3:15" ht="22.5" customHeight="1">
      <c r="C233" s="386"/>
      <c r="D233" s="366"/>
      <c r="E233" s="366"/>
      <c r="F233" s="366"/>
      <c r="G233" s="366"/>
      <c r="H233" s="366"/>
      <c r="I233" s="366"/>
      <c r="J233" s="366"/>
      <c r="K233" s="366"/>
      <c r="L233" s="366"/>
      <c r="M233" s="366"/>
      <c r="N233" s="366"/>
      <c r="O233" s="366"/>
    </row>
    <row r="234" spans="3:15" ht="22.5" customHeight="1">
      <c r="C234" s="386"/>
      <c r="D234" s="366"/>
      <c r="E234" s="366"/>
      <c r="F234" s="366"/>
      <c r="G234" s="366"/>
      <c r="H234" s="366"/>
      <c r="I234" s="366"/>
      <c r="J234" s="366"/>
      <c r="K234" s="366"/>
      <c r="L234" s="366"/>
      <c r="M234" s="366"/>
      <c r="N234" s="366"/>
      <c r="O234" s="366"/>
    </row>
    <row r="235" spans="3:15" ht="22.5" customHeight="1">
      <c r="C235" s="386"/>
      <c r="D235" s="366"/>
      <c r="E235" s="366"/>
      <c r="F235" s="366"/>
      <c r="G235" s="366"/>
      <c r="H235" s="366"/>
      <c r="I235" s="366"/>
      <c r="J235" s="366"/>
      <c r="K235" s="366"/>
      <c r="L235" s="366"/>
      <c r="M235" s="366"/>
      <c r="N235" s="366"/>
      <c r="O235" s="366"/>
    </row>
    <row r="236" spans="3:15" ht="22.5" customHeight="1">
      <c r="C236" s="386"/>
      <c r="D236" s="366"/>
      <c r="E236" s="366"/>
      <c r="F236" s="366"/>
      <c r="G236" s="366"/>
      <c r="H236" s="366"/>
      <c r="I236" s="366"/>
      <c r="J236" s="366"/>
      <c r="K236" s="366"/>
      <c r="L236" s="366"/>
      <c r="M236" s="366"/>
      <c r="N236" s="366"/>
      <c r="O236" s="366"/>
    </row>
    <row r="237" spans="3:15" ht="22.5" customHeight="1">
      <c r="C237" s="386"/>
      <c r="D237" s="366"/>
      <c r="E237" s="366"/>
      <c r="F237" s="366"/>
      <c r="G237" s="366"/>
      <c r="H237" s="366"/>
      <c r="I237" s="366"/>
      <c r="J237" s="366"/>
      <c r="K237" s="366"/>
      <c r="L237" s="366"/>
      <c r="M237" s="366"/>
      <c r="N237" s="366"/>
      <c r="O237" s="366"/>
    </row>
    <row r="238" spans="3:15" ht="22.5" customHeight="1">
      <c r="C238" s="386"/>
      <c r="D238" s="366"/>
      <c r="E238" s="366"/>
      <c r="F238" s="366"/>
      <c r="G238" s="366"/>
      <c r="H238" s="366"/>
      <c r="I238" s="366"/>
      <c r="J238" s="366"/>
      <c r="K238" s="366"/>
      <c r="L238" s="366"/>
      <c r="M238" s="366"/>
      <c r="N238" s="366"/>
      <c r="O238" s="366"/>
    </row>
    <row r="239" spans="3:15" ht="22.5" customHeight="1">
      <c r="C239" s="386"/>
      <c r="D239" s="366"/>
      <c r="E239" s="366"/>
      <c r="F239" s="366"/>
      <c r="G239" s="366"/>
      <c r="H239" s="366"/>
      <c r="I239" s="366"/>
      <c r="J239" s="366"/>
      <c r="K239" s="366"/>
      <c r="L239" s="366"/>
      <c r="M239" s="366"/>
      <c r="N239" s="366"/>
      <c r="O239" s="366"/>
    </row>
    <row r="240" spans="3:15" ht="22.5" customHeight="1">
      <c r="C240" s="386"/>
      <c r="D240" s="366"/>
      <c r="E240" s="366"/>
      <c r="F240" s="366"/>
      <c r="G240" s="366"/>
      <c r="H240" s="366"/>
      <c r="I240" s="366"/>
      <c r="J240" s="366"/>
      <c r="K240" s="366"/>
      <c r="L240" s="366"/>
      <c r="M240" s="366"/>
      <c r="N240" s="366"/>
      <c r="O240" s="366"/>
    </row>
    <row r="241" spans="3:15" ht="22.5" customHeight="1">
      <c r="C241" s="386"/>
      <c r="D241" s="366"/>
      <c r="E241" s="366"/>
      <c r="F241" s="366"/>
      <c r="G241" s="366"/>
      <c r="H241" s="366"/>
      <c r="I241" s="366"/>
      <c r="J241" s="366"/>
      <c r="K241" s="366"/>
      <c r="L241" s="366"/>
      <c r="M241" s="366"/>
      <c r="N241" s="366"/>
      <c r="O241" s="366"/>
    </row>
    <row r="242" spans="3:15" ht="22.5" customHeight="1">
      <c r="C242" s="386"/>
      <c r="D242" s="366"/>
      <c r="E242" s="366"/>
      <c r="F242" s="366"/>
      <c r="G242" s="366"/>
      <c r="H242" s="366"/>
      <c r="I242" s="366"/>
      <c r="J242" s="366"/>
      <c r="K242" s="366"/>
      <c r="L242" s="366"/>
      <c r="M242" s="366"/>
      <c r="N242" s="366"/>
      <c r="O242" s="366"/>
    </row>
    <row r="243" spans="3:15" ht="22.5" customHeight="1">
      <c r="C243" s="386"/>
      <c r="D243" s="366"/>
      <c r="E243" s="366"/>
      <c r="F243" s="366"/>
      <c r="G243" s="366"/>
      <c r="H243" s="366"/>
      <c r="I243" s="366"/>
      <c r="J243" s="366"/>
      <c r="K243" s="366"/>
      <c r="L243" s="366"/>
      <c r="M243" s="366"/>
      <c r="N243" s="366"/>
      <c r="O243" s="366"/>
    </row>
    <row r="244" spans="3:15" ht="22.5" customHeight="1">
      <c r="C244" s="386"/>
      <c r="D244" s="366"/>
      <c r="E244" s="366"/>
      <c r="F244" s="366"/>
      <c r="G244" s="366"/>
      <c r="H244" s="366"/>
      <c r="I244" s="366"/>
      <c r="J244" s="366"/>
      <c r="K244" s="366"/>
      <c r="L244" s="366"/>
      <c r="M244" s="366"/>
      <c r="N244" s="366"/>
      <c r="O244" s="366"/>
    </row>
    <row r="245" spans="3:15" ht="22.5" customHeight="1">
      <c r="C245" s="386"/>
      <c r="D245" s="366"/>
      <c r="E245" s="366"/>
      <c r="F245" s="366"/>
      <c r="G245" s="366"/>
      <c r="H245" s="366"/>
      <c r="I245" s="366"/>
      <c r="J245" s="366"/>
      <c r="K245" s="366"/>
      <c r="L245" s="366"/>
      <c r="M245" s="366"/>
      <c r="N245" s="366"/>
      <c r="O245" s="366"/>
    </row>
    <row r="246" spans="3:15" ht="22.5" customHeight="1">
      <c r="C246" s="386"/>
      <c r="D246" s="366"/>
      <c r="E246" s="366"/>
      <c r="F246" s="366"/>
      <c r="G246" s="366"/>
      <c r="H246" s="366"/>
      <c r="I246" s="366"/>
      <c r="J246" s="366"/>
      <c r="K246" s="366"/>
      <c r="L246" s="366"/>
      <c r="M246" s="366"/>
      <c r="N246" s="366"/>
      <c r="O246" s="366"/>
    </row>
    <row r="247" spans="3:15" ht="22.5" customHeight="1">
      <c r="C247" s="386"/>
      <c r="D247" s="366"/>
      <c r="E247" s="366"/>
      <c r="F247" s="366"/>
      <c r="G247" s="366"/>
      <c r="H247" s="366"/>
      <c r="I247" s="366"/>
      <c r="J247" s="366"/>
      <c r="K247" s="366"/>
      <c r="L247" s="366"/>
      <c r="M247" s="366"/>
      <c r="N247" s="366"/>
      <c r="O247" s="366"/>
    </row>
    <row r="248" spans="3:15" ht="22.5" customHeight="1">
      <c r="C248" s="386"/>
      <c r="D248" s="366"/>
      <c r="E248" s="366"/>
      <c r="F248" s="366"/>
      <c r="G248" s="366"/>
      <c r="H248" s="366"/>
      <c r="I248" s="366"/>
      <c r="J248" s="366"/>
      <c r="K248" s="366"/>
      <c r="L248" s="366"/>
      <c r="M248" s="366"/>
      <c r="N248" s="366"/>
      <c r="O248" s="366"/>
    </row>
    <row r="249" spans="3:15" ht="22.5" customHeight="1">
      <c r="C249" s="386"/>
      <c r="D249" s="366"/>
      <c r="E249" s="366"/>
      <c r="F249" s="366"/>
      <c r="G249" s="366"/>
      <c r="H249" s="366"/>
      <c r="I249" s="366"/>
      <c r="J249" s="366"/>
      <c r="K249" s="366"/>
      <c r="L249" s="366"/>
      <c r="M249" s="366"/>
      <c r="N249" s="366"/>
      <c r="O249" s="366"/>
    </row>
    <row r="250" spans="3:15" ht="22.5" customHeight="1">
      <c r="C250" s="386"/>
      <c r="D250" s="366"/>
      <c r="E250" s="366"/>
      <c r="F250" s="366"/>
      <c r="G250" s="366"/>
      <c r="H250" s="366"/>
      <c r="I250" s="366"/>
      <c r="J250" s="366"/>
      <c r="K250" s="366"/>
      <c r="L250" s="366"/>
      <c r="M250" s="366"/>
      <c r="N250" s="366"/>
      <c r="O250" s="366"/>
    </row>
    <row r="251" spans="3:15" ht="22.5" customHeight="1">
      <c r="C251" s="386"/>
      <c r="D251" s="366"/>
      <c r="E251" s="366"/>
      <c r="F251" s="366"/>
      <c r="G251" s="366"/>
      <c r="H251" s="366"/>
      <c r="I251" s="366"/>
      <c r="J251" s="366"/>
      <c r="K251" s="366"/>
      <c r="L251" s="366"/>
      <c r="M251" s="366"/>
      <c r="N251" s="366"/>
      <c r="O251" s="366"/>
    </row>
    <row r="252" spans="3:15" ht="22.5" customHeight="1">
      <c r="C252" s="386"/>
      <c r="D252" s="366"/>
      <c r="E252" s="366"/>
      <c r="F252" s="366"/>
      <c r="G252" s="366"/>
      <c r="H252" s="366"/>
      <c r="I252" s="366"/>
      <c r="J252" s="366"/>
      <c r="K252" s="366"/>
      <c r="L252" s="366"/>
      <c r="M252" s="366"/>
      <c r="N252" s="366"/>
      <c r="O252" s="366"/>
    </row>
    <row r="253" spans="3:15" ht="22.5" customHeight="1">
      <c r="C253" s="386"/>
      <c r="D253" s="366"/>
      <c r="E253" s="366"/>
      <c r="F253" s="366"/>
      <c r="G253" s="366"/>
      <c r="H253" s="366"/>
      <c r="I253" s="366"/>
      <c r="J253" s="366"/>
      <c r="K253" s="366"/>
      <c r="L253" s="366"/>
      <c r="M253" s="366"/>
      <c r="N253" s="366"/>
      <c r="O253" s="366"/>
    </row>
    <row r="254" spans="3:15" ht="22.5" customHeight="1">
      <c r="C254" s="386"/>
      <c r="D254" s="366"/>
      <c r="E254" s="366"/>
      <c r="F254" s="366"/>
      <c r="G254" s="366"/>
      <c r="H254" s="366"/>
      <c r="I254" s="366"/>
      <c r="J254" s="366"/>
      <c r="K254" s="366"/>
      <c r="L254" s="366"/>
      <c r="M254" s="366"/>
      <c r="N254" s="366"/>
      <c r="O254" s="366"/>
    </row>
    <row r="255" spans="3:15" ht="22.5" customHeight="1">
      <c r="C255" s="386"/>
      <c r="D255" s="366"/>
      <c r="E255" s="366"/>
      <c r="F255" s="366"/>
      <c r="G255" s="366"/>
      <c r="H255" s="366"/>
      <c r="I255" s="366"/>
      <c r="J255" s="366"/>
      <c r="K255" s="366"/>
      <c r="L255" s="366"/>
      <c r="M255" s="366"/>
      <c r="N255" s="366"/>
      <c r="O255" s="366"/>
    </row>
    <row r="256" spans="3:15" ht="22.5" customHeight="1">
      <c r="C256" s="386"/>
      <c r="D256" s="366"/>
      <c r="E256" s="366"/>
      <c r="F256" s="366"/>
      <c r="G256" s="366"/>
      <c r="H256" s="366"/>
      <c r="I256" s="366"/>
      <c r="J256" s="366"/>
      <c r="K256" s="366"/>
      <c r="L256" s="366"/>
      <c r="M256" s="366"/>
      <c r="N256" s="366"/>
      <c r="O256" s="366"/>
    </row>
    <row r="257" spans="3:15" ht="22.5" customHeight="1">
      <c r="C257" s="386"/>
      <c r="D257" s="366"/>
      <c r="E257" s="366"/>
      <c r="F257" s="366"/>
      <c r="G257" s="366"/>
      <c r="H257" s="366"/>
      <c r="I257" s="366"/>
      <c r="J257" s="366"/>
      <c r="K257" s="366"/>
      <c r="L257" s="366"/>
      <c r="M257" s="366"/>
      <c r="N257" s="366"/>
      <c r="O257" s="366"/>
    </row>
    <row r="258" spans="3:15" ht="22.5" customHeight="1">
      <c r="C258" s="386"/>
      <c r="D258" s="366"/>
      <c r="E258" s="366"/>
      <c r="F258" s="366"/>
      <c r="G258" s="366"/>
      <c r="H258" s="366"/>
      <c r="I258" s="366"/>
      <c r="J258" s="366"/>
      <c r="K258" s="366"/>
      <c r="L258" s="366"/>
      <c r="M258" s="366"/>
      <c r="N258" s="366"/>
      <c r="O258" s="366"/>
    </row>
    <row r="259" spans="3:15" ht="22.5" customHeight="1">
      <c r="C259" s="386"/>
      <c r="D259" s="366"/>
      <c r="E259" s="366"/>
      <c r="F259" s="366"/>
      <c r="G259" s="366"/>
      <c r="H259" s="366"/>
      <c r="I259" s="366"/>
      <c r="J259" s="366"/>
      <c r="K259" s="366"/>
      <c r="L259" s="366"/>
      <c r="M259" s="366"/>
      <c r="N259" s="366"/>
      <c r="O259" s="366"/>
    </row>
    <row r="260" spans="3:15" ht="22.5" customHeight="1">
      <c r="C260" s="386"/>
      <c r="D260" s="366"/>
      <c r="E260" s="366"/>
      <c r="F260" s="366"/>
      <c r="G260" s="366"/>
      <c r="H260" s="366"/>
      <c r="I260" s="366"/>
      <c r="J260" s="366"/>
      <c r="K260" s="366"/>
      <c r="L260" s="366"/>
      <c r="M260" s="366"/>
      <c r="N260" s="366"/>
      <c r="O260" s="366"/>
    </row>
    <row r="261" spans="3:15" ht="22.5" customHeight="1">
      <c r="C261" s="386"/>
      <c r="D261" s="366"/>
      <c r="E261" s="366"/>
      <c r="F261" s="366"/>
      <c r="G261" s="366"/>
      <c r="H261" s="366"/>
      <c r="I261" s="366"/>
      <c r="J261" s="366"/>
      <c r="K261" s="366"/>
      <c r="L261" s="366"/>
      <c r="M261" s="366"/>
      <c r="N261" s="366"/>
      <c r="O261" s="366"/>
    </row>
    <row r="262" spans="3:15" ht="22.5" customHeight="1">
      <c r="C262" s="386"/>
      <c r="D262" s="366"/>
      <c r="E262" s="366"/>
      <c r="F262" s="366"/>
      <c r="G262" s="366"/>
      <c r="H262" s="366"/>
      <c r="I262" s="366"/>
      <c r="J262" s="366"/>
      <c r="K262" s="366"/>
      <c r="L262" s="366"/>
      <c r="M262" s="366"/>
      <c r="N262" s="366"/>
      <c r="O262" s="366"/>
    </row>
    <row r="263" spans="3:15" ht="22.5" customHeight="1">
      <c r="C263" s="386"/>
      <c r="D263" s="366"/>
      <c r="E263" s="366"/>
      <c r="F263" s="366"/>
      <c r="G263" s="366"/>
      <c r="H263" s="366"/>
      <c r="I263" s="366"/>
      <c r="J263" s="366"/>
      <c r="K263" s="366"/>
      <c r="L263" s="366"/>
      <c r="M263" s="366"/>
      <c r="N263" s="366"/>
      <c r="O263" s="366"/>
    </row>
  </sheetData>
  <sheetProtection/>
  <mergeCells count="8">
    <mergeCell ref="C1:R1"/>
    <mergeCell ref="C2:R2"/>
    <mergeCell ref="J4:L4"/>
    <mergeCell ref="M4:O4"/>
    <mergeCell ref="P4:R4"/>
    <mergeCell ref="C4:C5"/>
    <mergeCell ref="D4:F4"/>
    <mergeCell ref="G4:I4"/>
  </mergeCells>
  <printOptions horizontalCentered="1"/>
  <pageMargins left="0.3937007874015748" right="0.5905511811023623" top="0.6299212598425197" bottom="0.31496062992125984" header="0.2755905511811024" footer="0.1968503937007874"/>
  <pageSetup horizontalDpi="600" verticalDpi="600" orientation="landscape" paperSize="9" scale="37" r:id="rId1"/>
  <headerFooter alignWithMargins="0">
    <oddHeader>&amp;L&amp;11 4. melléklet a 16/2016.(V.26.)   önkormányzati rendelethez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0"/>
  <sheetViews>
    <sheetView zoomScale="75" zoomScaleNormal="75" zoomScalePageLayoutView="0" workbookViewId="0" topLeftCell="A1">
      <selection activeCell="A73" sqref="A73:S73"/>
    </sheetView>
  </sheetViews>
  <sheetFormatPr defaultColWidth="9.00390625" defaultRowHeight="12.75"/>
  <cols>
    <col min="1" max="1" width="17.625" style="0" customWidth="1"/>
    <col min="2" max="2" width="7.75390625" style="0" customWidth="1"/>
    <col min="3" max="3" width="83.75390625" style="787" customWidth="1"/>
    <col min="4" max="4" width="11.75390625" style="0" customWidth="1"/>
    <col min="15" max="15" width="10.75390625" style="0" customWidth="1"/>
    <col min="16" max="16" width="11.25390625" style="0" customWidth="1"/>
    <col min="18" max="18" width="12.00390625" style="0" customWidth="1"/>
  </cols>
  <sheetData>
    <row r="1" spans="1:19" ht="24.75" customHeight="1">
      <c r="A1" s="1179" t="s">
        <v>23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  <c r="O1" s="1179"/>
      <c r="P1" s="1179"/>
      <c r="Q1" s="1179"/>
      <c r="R1" s="1179"/>
      <c r="S1" s="1179"/>
    </row>
    <row r="2" spans="1:19" ht="12" customHeight="1" thickBot="1">
      <c r="A2" s="737"/>
      <c r="B2" s="737"/>
      <c r="C2" s="786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8"/>
      <c r="O2" s="739"/>
      <c r="P2" s="739"/>
      <c r="Q2" s="739"/>
      <c r="R2" s="739"/>
      <c r="S2" s="737"/>
    </row>
    <row r="3" spans="1:19" ht="24.75" customHeight="1">
      <c r="A3" s="761" t="s">
        <v>621</v>
      </c>
      <c r="B3" s="762"/>
      <c r="C3" s="762"/>
      <c r="D3" s="763"/>
      <c r="E3" s="764" t="s">
        <v>300</v>
      </c>
      <c r="F3" s="764" t="s">
        <v>301</v>
      </c>
      <c r="G3" s="1180" t="s">
        <v>305</v>
      </c>
      <c r="H3" s="1181"/>
      <c r="I3" s="1181"/>
      <c r="J3" s="1181"/>
      <c r="K3" s="1181"/>
      <c r="L3" s="1182"/>
      <c r="M3" s="1183" t="s">
        <v>306</v>
      </c>
      <c r="N3" s="1184"/>
      <c r="O3" s="1184"/>
      <c r="P3" s="1185"/>
      <c r="Q3" s="1183" t="s">
        <v>271</v>
      </c>
      <c r="R3" s="1185"/>
      <c r="S3" s="765" t="s">
        <v>715</v>
      </c>
    </row>
    <row r="4" spans="1:19" ht="52.5" customHeight="1">
      <c r="A4" s="766"/>
      <c r="B4" s="767"/>
      <c r="C4" s="767"/>
      <c r="D4" s="768"/>
      <c r="E4" s="769"/>
      <c r="F4" s="769"/>
      <c r="G4" s="770" t="s">
        <v>560</v>
      </c>
      <c r="H4" s="770" t="s">
        <v>307</v>
      </c>
      <c r="I4" s="770" t="s">
        <v>422</v>
      </c>
      <c r="J4" s="770" t="s">
        <v>564</v>
      </c>
      <c r="K4" s="770" t="s">
        <v>563</v>
      </c>
      <c r="L4" s="770" t="s">
        <v>646</v>
      </c>
      <c r="M4" s="771" t="s">
        <v>274</v>
      </c>
      <c r="N4" s="771" t="s">
        <v>273</v>
      </c>
      <c r="O4" s="770" t="s">
        <v>581</v>
      </c>
      <c r="P4" s="772" t="s">
        <v>245</v>
      </c>
      <c r="Q4" s="772" t="s">
        <v>308</v>
      </c>
      <c r="R4" s="770" t="s">
        <v>246</v>
      </c>
      <c r="S4" s="773"/>
    </row>
    <row r="5" spans="1:19" ht="12" customHeight="1">
      <c r="A5" s="784"/>
      <c r="B5" s="774"/>
      <c r="C5" s="774"/>
      <c r="D5" s="775"/>
      <c r="E5" s="776"/>
      <c r="F5" s="776"/>
      <c r="G5" s="777"/>
      <c r="H5" s="777"/>
      <c r="I5" s="777"/>
      <c r="J5" s="777"/>
      <c r="K5" s="777"/>
      <c r="L5" s="777"/>
      <c r="M5" s="776"/>
      <c r="N5" s="776"/>
      <c r="O5" s="777"/>
      <c r="P5" s="778"/>
      <c r="Q5" s="778"/>
      <c r="R5" s="777"/>
      <c r="S5" s="779"/>
    </row>
    <row r="6" spans="1:19" ht="27.75" customHeight="1">
      <c r="A6" s="740" t="s">
        <v>309</v>
      </c>
      <c r="B6" s="741" t="s">
        <v>311</v>
      </c>
      <c r="C6" s="785" t="s">
        <v>310</v>
      </c>
      <c r="D6" s="743" t="s">
        <v>4</v>
      </c>
      <c r="E6" s="744">
        <v>100000</v>
      </c>
      <c r="F6" s="744">
        <v>0</v>
      </c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2"/>
      <c r="S6" s="746"/>
    </row>
    <row r="7" spans="1:19" ht="14.25" customHeight="1">
      <c r="A7" s="747"/>
      <c r="B7" s="748"/>
      <c r="C7" s="749"/>
      <c r="D7" s="750" t="s">
        <v>976</v>
      </c>
      <c r="E7" s="751">
        <v>81606</v>
      </c>
      <c r="F7" s="751">
        <v>0</v>
      </c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49"/>
      <c r="S7" s="753"/>
    </row>
    <row r="8" spans="1:19" ht="14.25" customHeight="1">
      <c r="A8" s="747"/>
      <c r="B8" s="748"/>
      <c r="C8" s="749"/>
      <c r="D8" s="750" t="s">
        <v>1032</v>
      </c>
      <c r="E8" s="751">
        <v>0</v>
      </c>
      <c r="F8" s="751">
        <v>0</v>
      </c>
      <c r="G8" s="752"/>
      <c r="H8" s="752"/>
      <c r="I8" s="752"/>
      <c r="J8" s="752"/>
      <c r="K8" s="752"/>
      <c r="L8" s="752"/>
      <c r="M8" s="752"/>
      <c r="N8" s="752"/>
      <c r="O8" s="752"/>
      <c r="P8" s="752"/>
      <c r="Q8" s="752"/>
      <c r="R8" s="749"/>
      <c r="S8" s="753"/>
    </row>
    <row r="9" spans="1:19" ht="12.75" customHeight="1">
      <c r="A9" s="747" t="s">
        <v>309</v>
      </c>
      <c r="B9" s="748" t="s">
        <v>311</v>
      </c>
      <c r="C9" s="756" t="s">
        <v>312</v>
      </c>
      <c r="D9" s="750" t="s">
        <v>4</v>
      </c>
      <c r="E9" s="751">
        <v>241854</v>
      </c>
      <c r="F9" s="751">
        <v>501519</v>
      </c>
      <c r="G9" s="752">
        <v>49450</v>
      </c>
      <c r="H9" s="752">
        <v>14695</v>
      </c>
      <c r="I9" s="752">
        <v>33710</v>
      </c>
      <c r="J9" s="752">
        <v>350405</v>
      </c>
      <c r="K9" s="752"/>
      <c r="L9" s="752"/>
      <c r="M9" s="752">
        <v>1016</v>
      </c>
      <c r="N9" s="752">
        <v>41243</v>
      </c>
      <c r="O9" s="752"/>
      <c r="P9" s="752"/>
      <c r="Q9" s="752">
        <v>11000</v>
      </c>
      <c r="R9" s="749"/>
      <c r="S9" s="753"/>
    </row>
    <row r="10" spans="1:19" ht="12" customHeight="1">
      <c r="A10" s="747"/>
      <c r="B10" s="748"/>
      <c r="C10" s="749"/>
      <c r="D10" s="750" t="s">
        <v>976</v>
      </c>
      <c r="E10" s="751">
        <v>150451</v>
      </c>
      <c r="F10" s="751">
        <v>572056</v>
      </c>
      <c r="G10" s="752">
        <v>65976</v>
      </c>
      <c r="H10" s="752">
        <v>20496</v>
      </c>
      <c r="I10" s="752">
        <v>403635</v>
      </c>
      <c r="J10" s="752">
        <v>41336</v>
      </c>
      <c r="K10" s="752">
        <v>29000</v>
      </c>
      <c r="L10" s="752"/>
      <c r="M10" s="752">
        <v>1016</v>
      </c>
      <c r="N10" s="752">
        <v>10217</v>
      </c>
      <c r="O10" s="752">
        <v>380</v>
      </c>
      <c r="P10" s="752"/>
      <c r="Q10" s="752"/>
      <c r="R10" s="749"/>
      <c r="S10" s="753"/>
    </row>
    <row r="11" spans="1:19" ht="12" customHeight="1">
      <c r="A11" s="747"/>
      <c r="B11" s="748"/>
      <c r="C11" s="749"/>
      <c r="D11" s="754" t="s">
        <v>1032</v>
      </c>
      <c r="E11" s="751">
        <v>96856</v>
      </c>
      <c r="F11" s="751">
        <v>506318</v>
      </c>
      <c r="G11" s="752">
        <v>65184</v>
      </c>
      <c r="H11" s="752">
        <v>19217</v>
      </c>
      <c r="I11" s="752">
        <v>380309</v>
      </c>
      <c r="J11" s="752">
        <v>32973</v>
      </c>
      <c r="K11" s="752">
        <v>0</v>
      </c>
      <c r="L11" s="752"/>
      <c r="M11" s="752">
        <v>0</v>
      </c>
      <c r="N11" s="752">
        <v>8255</v>
      </c>
      <c r="O11" s="752">
        <v>380</v>
      </c>
      <c r="P11" s="752"/>
      <c r="Q11" s="752">
        <v>0</v>
      </c>
      <c r="R11" s="749"/>
      <c r="S11" s="753"/>
    </row>
    <row r="12" spans="1:19" ht="12.75" customHeight="1">
      <c r="A12" s="747" t="s">
        <v>313</v>
      </c>
      <c r="B12" s="748" t="s">
        <v>314</v>
      </c>
      <c r="C12" s="749" t="s">
        <v>315</v>
      </c>
      <c r="D12" s="750" t="s">
        <v>4</v>
      </c>
      <c r="E12" s="751">
        <v>1918951</v>
      </c>
      <c r="F12" s="751">
        <v>0</v>
      </c>
      <c r="G12" s="752"/>
      <c r="H12" s="752"/>
      <c r="I12" s="752"/>
      <c r="J12" s="752"/>
      <c r="K12" s="752"/>
      <c r="L12" s="752"/>
      <c r="M12" s="752"/>
      <c r="N12" s="752"/>
      <c r="O12" s="752"/>
      <c r="P12" s="752"/>
      <c r="Q12" s="752"/>
      <c r="R12" s="749"/>
      <c r="S12" s="753"/>
    </row>
    <row r="13" spans="1:19" ht="12.75" customHeight="1">
      <c r="A13" s="747"/>
      <c r="B13" s="748"/>
      <c r="C13" s="749"/>
      <c r="D13" s="750" t="s">
        <v>976</v>
      </c>
      <c r="E13" s="751">
        <v>2054644</v>
      </c>
      <c r="F13" s="751">
        <v>0</v>
      </c>
      <c r="G13" s="752"/>
      <c r="H13" s="752"/>
      <c r="I13" s="752"/>
      <c r="J13" s="752"/>
      <c r="K13" s="752"/>
      <c r="L13" s="752"/>
      <c r="M13" s="752"/>
      <c r="N13" s="752"/>
      <c r="O13" s="752"/>
      <c r="P13" s="752"/>
      <c r="Q13" s="752"/>
      <c r="R13" s="749"/>
      <c r="S13" s="753"/>
    </row>
    <row r="14" spans="1:19" ht="12" customHeight="1">
      <c r="A14" s="747"/>
      <c r="B14" s="748"/>
      <c r="C14" s="749"/>
      <c r="D14" s="750" t="s">
        <v>1032</v>
      </c>
      <c r="E14" s="751">
        <v>0</v>
      </c>
      <c r="F14" s="751">
        <v>0</v>
      </c>
      <c r="G14" s="752"/>
      <c r="H14" s="752"/>
      <c r="I14" s="752"/>
      <c r="J14" s="752"/>
      <c r="K14" s="752"/>
      <c r="L14" s="752"/>
      <c r="M14" s="752"/>
      <c r="N14" s="752"/>
      <c r="O14" s="752"/>
      <c r="P14" s="752"/>
      <c r="Q14" s="752"/>
      <c r="R14" s="749"/>
      <c r="S14" s="753"/>
    </row>
    <row r="15" spans="1:19" ht="12" customHeight="1">
      <c r="A15" s="747" t="s">
        <v>316</v>
      </c>
      <c r="B15" s="748" t="s">
        <v>317</v>
      </c>
      <c r="C15" s="749" t="s">
        <v>318</v>
      </c>
      <c r="D15" s="750" t="s">
        <v>4</v>
      </c>
      <c r="E15" s="751">
        <v>2700</v>
      </c>
      <c r="F15" s="751">
        <v>3600</v>
      </c>
      <c r="G15" s="752"/>
      <c r="H15" s="752"/>
      <c r="I15" s="752">
        <v>3600</v>
      </c>
      <c r="J15" s="752"/>
      <c r="K15" s="752"/>
      <c r="L15" s="752"/>
      <c r="M15" s="752"/>
      <c r="N15" s="752"/>
      <c r="O15" s="752"/>
      <c r="P15" s="752"/>
      <c r="Q15" s="752"/>
      <c r="R15" s="749"/>
      <c r="S15" s="753"/>
    </row>
    <row r="16" spans="1:19" ht="12" customHeight="1">
      <c r="A16" s="747"/>
      <c r="B16" s="748"/>
      <c r="C16" s="749"/>
      <c r="D16" s="750" t="s">
        <v>976</v>
      </c>
      <c r="E16" s="751">
        <v>2700</v>
      </c>
      <c r="F16" s="751">
        <v>4100</v>
      </c>
      <c r="G16" s="752"/>
      <c r="H16" s="752"/>
      <c r="I16" s="752">
        <v>3600</v>
      </c>
      <c r="J16" s="752">
        <v>500</v>
      </c>
      <c r="K16" s="752"/>
      <c r="L16" s="752"/>
      <c r="M16" s="752"/>
      <c r="N16" s="752"/>
      <c r="O16" s="752"/>
      <c r="P16" s="752"/>
      <c r="Q16" s="752"/>
      <c r="R16" s="749"/>
      <c r="S16" s="753"/>
    </row>
    <row r="17" spans="1:19" ht="12" customHeight="1">
      <c r="A17" s="747"/>
      <c r="B17" s="748"/>
      <c r="C17" s="749"/>
      <c r="D17" s="754" t="s">
        <v>1032</v>
      </c>
      <c r="E17" s="751">
        <v>0</v>
      </c>
      <c r="F17" s="751">
        <v>500</v>
      </c>
      <c r="G17" s="755"/>
      <c r="H17" s="755"/>
      <c r="I17" s="755">
        <v>0</v>
      </c>
      <c r="J17" s="755">
        <v>500</v>
      </c>
      <c r="K17" s="755"/>
      <c r="L17" s="755"/>
      <c r="M17" s="755"/>
      <c r="N17" s="755"/>
      <c r="O17" s="755"/>
      <c r="P17" s="755"/>
      <c r="Q17" s="755"/>
      <c r="R17" s="749"/>
      <c r="S17" s="753"/>
    </row>
    <row r="18" spans="1:19" ht="12" customHeight="1">
      <c r="A18" s="747" t="s">
        <v>313</v>
      </c>
      <c r="B18" s="748" t="s">
        <v>319</v>
      </c>
      <c r="C18" s="749" t="s">
        <v>320</v>
      </c>
      <c r="D18" s="750" t="s">
        <v>4</v>
      </c>
      <c r="E18" s="751">
        <v>5969</v>
      </c>
      <c r="F18" s="751">
        <v>17143</v>
      </c>
      <c r="G18" s="755"/>
      <c r="H18" s="755"/>
      <c r="I18" s="755">
        <v>17143</v>
      </c>
      <c r="J18" s="755"/>
      <c r="K18" s="755"/>
      <c r="L18" s="755"/>
      <c r="M18" s="755"/>
      <c r="N18" s="755"/>
      <c r="O18" s="755"/>
      <c r="P18" s="755"/>
      <c r="Q18" s="755"/>
      <c r="R18" s="749"/>
      <c r="S18" s="753"/>
    </row>
    <row r="19" spans="1:19" ht="12" customHeight="1">
      <c r="A19" s="747"/>
      <c r="B19" s="748"/>
      <c r="C19" s="749"/>
      <c r="D19" s="750" t="s">
        <v>976</v>
      </c>
      <c r="E19" s="751">
        <v>7184</v>
      </c>
      <c r="F19" s="751">
        <v>16831</v>
      </c>
      <c r="G19" s="755"/>
      <c r="H19" s="755"/>
      <c r="I19" s="755">
        <v>16831</v>
      </c>
      <c r="J19" s="755">
        <v>0</v>
      </c>
      <c r="K19" s="755"/>
      <c r="L19" s="755"/>
      <c r="M19" s="755"/>
      <c r="N19" s="755"/>
      <c r="O19" s="755"/>
      <c r="P19" s="755"/>
      <c r="Q19" s="755"/>
      <c r="R19" s="749"/>
      <c r="S19" s="753"/>
    </row>
    <row r="20" spans="1:19" ht="12" customHeight="1">
      <c r="A20" s="747"/>
      <c r="B20" s="748"/>
      <c r="C20" s="749"/>
      <c r="D20" s="750" t="s">
        <v>1032</v>
      </c>
      <c r="E20" s="751">
        <v>7185</v>
      </c>
      <c r="F20" s="751">
        <v>16440</v>
      </c>
      <c r="G20" s="755"/>
      <c r="H20" s="755"/>
      <c r="I20" s="755">
        <v>16440</v>
      </c>
      <c r="J20" s="755">
        <v>0</v>
      </c>
      <c r="K20" s="755"/>
      <c r="L20" s="755"/>
      <c r="M20" s="755"/>
      <c r="N20" s="755"/>
      <c r="O20" s="755"/>
      <c r="P20" s="755"/>
      <c r="Q20" s="755"/>
      <c r="R20" s="749"/>
      <c r="S20" s="753"/>
    </row>
    <row r="21" spans="1:19" ht="12" customHeight="1">
      <c r="A21" s="747" t="s">
        <v>313</v>
      </c>
      <c r="B21" s="748" t="s">
        <v>321</v>
      </c>
      <c r="C21" s="749" t="s">
        <v>322</v>
      </c>
      <c r="D21" s="750" t="s">
        <v>4</v>
      </c>
      <c r="E21" s="751">
        <v>2589024</v>
      </c>
      <c r="F21" s="751">
        <v>2520749</v>
      </c>
      <c r="G21" s="755"/>
      <c r="H21" s="755"/>
      <c r="I21" s="755">
        <v>342829</v>
      </c>
      <c r="J21" s="755"/>
      <c r="K21" s="755"/>
      <c r="L21" s="755"/>
      <c r="M21" s="755">
        <v>96344</v>
      </c>
      <c r="N21" s="755">
        <v>1926076</v>
      </c>
      <c r="O21" s="755">
        <v>149000</v>
      </c>
      <c r="P21" s="755"/>
      <c r="Q21" s="755">
        <v>6500</v>
      </c>
      <c r="R21" s="749"/>
      <c r="S21" s="753"/>
    </row>
    <row r="22" spans="1:19" ht="12" customHeight="1">
      <c r="A22" s="747"/>
      <c r="B22" s="748"/>
      <c r="C22" s="749"/>
      <c r="D22" s="750" t="s">
        <v>976</v>
      </c>
      <c r="E22" s="751">
        <v>1995032</v>
      </c>
      <c r="F22" s="751">
        <v>2147722</v>
      </c>
      <c r="G22" s="755">
        <v>4712</v>
      </c>
      <c r="H22" s="755">
        <v>1189</v>
      </c>
      <c r="I22" s="755">
        <v>321789</v>
      </c>
      <c r="J22" s="755">
        <v>32918</v>
      </c>
      <c r="K22" s="755"/>
      <c r="L22" s="755"/>
      <c r="M22" s="755">
        <v>89542</v>
      </c>
      <c r="N22" s="755">
        <v>1518396</v>
      </c>
      <c r="O22" s="755">
        <v>179176</v>
      </c>
      <c r="P22" s="755"/>
      <c r="Q22" s="755"/>
      <c r="R22" s="749"/>
      <c r="S22" s="753"/>
    </row>
    <row r="23" spans="1:19" ht="12" customHeight="1">
      <c r="A23" s="747"/>
      <c r="B23" s="748"/>
      <c r="C23" s="749"/>
      <c r="D23" s="754" t="s">
        <v>1032</v>
      </c>
      <c r="E23" s="751">
        <v>1860075</v>
      </c>
      <c r="F23" s="751">
        <v>2079197</v>
      </c>
      <c r="G23" s="755">
        <v>3229</v>
      </c>
      <c r="H23" s="755">
        <v>784</v>
      </c>
      <c r="I23" s="755">
        <v>310444</v>
      </c>
      <c r="J23" s="755">
        <v>32918</v>
      </c>
      <c r="K23" s="755"/>
      <c r="L23" s="755"/>
      <c r="M23" s="755">
        <v>75920</v>
      </c>
      <c r="N23" s="755">
        <v>1499725</v>
      </c>
      <c r="O23" s="755">
        <v>156177</v>
      </c>
      <c r="P23" s="755"/>
      <c r="Q23" s="755">
        <v>0</v>
      </c>
      <c r="R23" s="749"/>
      <c r="S23" s="753"/>
    </row>
    <row r="24" spans="1:19" ht="12" customHeight="1">
      <c r="A24" s="747" t="s">
        <v>316</v>
      </c>
      <c r="B24" s="748" t="s">
        <v>323</v>
      </c>
      <c r="C24" s="749" t="s">
        <v>324</v>
      </c>
      <c r="D24" s="750" t="s">
        <v>4</v>
      </c>
      <c r="E24" s="751"/>
      <c r="F24" s="751">
        <v>4610</v>
      </c>
      <c r="G24" s="755">
        <v>3050</v>
      </c>
      <c r="H24" s="755">
        <v>1560</v>
      </c>
      <c r="I24" s="755"/>
      <c r="J24" s="755"/>
      <c r="K24" s="755"/>
      <c r="L24" s="755"/>
      <c r="M24" s="755"/>
      <c r="N24" s="755"/>
      <c r="O24" s="755"/>
      <c r="P24" s="755"/>
      <c r="Q24" s="755"/>
      <c r="R24" s="749"/>
      <c r="S24" s="753"/>
    </row>
    <row r="25" spans="1:19" ht="12" customHeight="1">
      <c r="A25" s="747"/>
      <c r="B25" s="748"/>
      <c r="C25" s="749"/>
      <c r="D25" s="750" t="s">
        <v>976</v>
      </c>
      <c r="E25" s="751"/>
      <c r="F25" s="751">
        <v>3319</v>
      </c>
      <c r="G25" s="755">
        <v>1984</v>
      </c>
      <c r="H25" s="755">
        <v>1260</v>
      </c>
      <c r="I25" s="755">
        <v>75</v>
      </c>
      <c r="J25" s="755"/>
      <c r="K25" s="755"/>
      <c r="L25" s="755"/>
      <c r="M25" s="755"/>
      <c r="N25" s="755"/>
      <c r="O25" s="755"/>
      <c r="P25" s="755"/>
      <c r="Q25" s="755"/>
      <c r="R25" s="749"/>
      <c r="S25" s="753"/>
    </row>
    <row r="26" spans="1:19" ht="12" customHeight="1">
      <c r="A26" s="747"/>
      <c r="B26" s="748"/>
      <c r="C26" s="749"/>
      <c r="D26" s="750" t="s">
        <v>1032</v>
      </c>
      <c r="E26" s="751"/>
      <c r="F26" s="751">
        <v>325</v>
      </c>
      <c r="G26" s="755">
        <v>169</v>
      </c>
      <c r="H26" s="755">
        <v>84</v>
      </c>
      <c r="I26" s="755">
        <v>72</v>
      </c>
      <c r="J26" s="755"/>
      <c r="K26" s="755"/>
      <c r="L26" s="755"/>
      <c r="M26" s="755"/>
      <c r="N26" s="755"/>
      <c r="O26" s="755"/>
      <c r="P26" s="755"/>
      <c r="Q26" s="755"/>
      <c r="R26" s="749"/>
      <c r="S26" s="753"/>
    </row>
    <row r="27" spans="1:19" ht="12" customHeight="1">
      <c r="A27" s="747" t="s">
        <v>316</v>
      </c>
      <c r="B27" s="748" t="s">
        <v>323</v>
      </c>
      <c r="C27" s="749" t="s">
        <v>325</v>
      </c>
      <c r="D27" s="750" t="s">
        <v>4</v>
      </c>
      <c r="E27" s="751">
        <v>2600</v>
      </c>
      <c r="F27" s="751">
        <v>5274</v>
      </c>
      <c r="G27" s="755">
        <v>2000</v>
      </c>
      <c r="H27" s="755">
        <v>1024</v>
      </c>
      <c r="I27" s="755">
        <v>2250</v>
      </c>
      <c r="J27" s="755"/>
      <c r="K27" s="755"/>
      <c r="L27" s="755"/>
      <c r="M27" s="755"/>
      <c r="N27" s="755"/>
      <c r="O27" s="755"/>
      <c r="P27" s="755"/>
      <c r="Q27" s="755"/>
      <c r="R27" s="749"/>
      <c r="S27" s="753"/>
    </row>
    <row r="28" spans="1:19" ht="12" customHeight="1">
      <c r="A28" s="747"/>
      <c r="B28" s="748"/>
      <c r="C28" s="749"/>
      <c r="D28" s="750" t="s">
        <v>976</v>
      </c>
      <c r="E28" s="751">
        <v>1686</v>
      </c>
      <c r="F28" s="751">
        <v>6464</v>
      </c>
      <c r="G28" s="755">
        <v>2300</v>
      </c>
      <c r="H28" s="755">
        <v>1164</v>
      </c>
      <c r="I28" s="755">
        <v>2444</v>
      </c>
      <c r="J28" s="755"/>
      <c r="K28" s="755"/>
      <c r="L28" s="755"/>
      <c r="M28" s="755"/>
      <c r="N28" s="755">
        <v>556</v>
      </c>
      <c r="O28" s="755"/>
      <c r="P28" s="755"/>
      <c r="Q28" s="755"/>
      <c r="R28" s="749"/>
      <c r="S28" s="753"/>
    </row>
    <row r="29" spans="1:19" ht="12" customHeight="1">
      <c r="A29" s="747"/>
      <c r="B29" s="748"/>
      <c r="C29" s="749"/>
      <c r="D29" s="754" t="s">
        <v>1032</v>
      </c>
      <c r="E29" s="751">
        <v>1688</v>
      </c>
      <c r="F29" s="751">
        <v>6391</v>
      </c>
      <c r="G29" s="752">
        <v>2266</v>
      </c>
      <c r="H29" s="752">
        <v>1160</v>
      </c>
      <c r="I29" s="752">
        <v>2409</v>
      </c>
      <c r="J29" s="752"/>
      <c r="K29" s="752"/>
      <c r="L29" s="752"/>
      <c r="M29" s="752"/>
      <c r="N29" s="752">
        <v>556</v>
      </c>
      <c r="O29" s="752"/>
      <c r="P29" s="752"/>
      <c r="Q29" s="752"/>
      <c r="R29" s="749"/>
      <c r="S29" s="753"/>
    </row>
    <row r="30" spans="1:19" ht="12" customHeight="1">
      <c r="A30" s="747" t="s">
        <v>316</v>
      </c>
      <c r="B30" s="748" t="s">
        <v>323</v>
      </c>
      <c r="C30" s="749" t="s">
        <v>326</v>
      </c>
      <c r="D30" s="750" t="s">
        <v>4</v>
      </c>
      <c r="E30" s="751"/>
      <c r="F30" s="751">
        <v>7485</v>
      </c>
      <c r="G30" s="752">
        <v>4950</v>
      </c>
      <c r="H30" s="752">
        <v>2535</v>
      </c>
      <c r="I30" s="752"/>
      <c r="J30" s="752"/>
      <c r="K30" s="752"/>
      <c r="L30" s="752"/>
      <c r="M30" s="752"/>
      <c r="N30" s="752"/>
      <c r="O30" s="752"/>
      <c r="P30" s="752"/>
      <c r="Q30" s="752"/>
      <c r="R30" s="749"/>
      <c r="S30" s="753"/>
    </row>
    <row r="31" spans="1:19" ht="12" customHeight="1">
      <c r="A31" s="747"/>
      <c r="B31" s="748"/>
      <c r="C31" s="749"/>
      <c r="D31" s="750" t="s">
        <v>976</v>
      </c>
      <c r="E31" s="751"/>
      <c r="F31" s="751">
        <v>4809</v>
      </c>
      <c r="G31" s="752">
        <v>3267</v>
      </c>
      <c r="H31" s="752">
        <v>852</v>
      </c>
      <c r="I31" s="752">
        <v>690</v>
      </c>
      <c r="J31" s="752"/>
      <c r="K31" s="752"/>
      <c r="L31" s="752"/>
      <c r="M31" s="752"/>
      <c r="N31" s="752"/>
      <c r="O31" s="752"/>
      <c r="P31" s="752"/>
      <c r="Q31" s="752"/>
      <c r="R31" s="749"/>
      <c r="S31" s="753"/>
    </row>
    <row r="32" spans="1:19" ht="12" customHeight="1">
      <c r="A32" s="747"/>
      <c r="B32" s="748"/>
      <c r="C32" s="749"/>
      <c r="D32" s="750" t="s">
        <v>1032</v>
      </c>
      <c r="E32" s="751"/>
      <c r="F32" s="751">
        <v>1505</v>
      </c>
      <c r="G32" s="752">
        <v>558</v>
      </c>
      <c r="H32" s="752">
        <v>266</v>
      </c>
      <c r="I32" s="752">
        <v>681</v>
      </c>
      <c r="J32" s="752"/>
      <c r="K32" s="752"/>
      <c r="L32" s="752"/>
      <c r="M32" s="752"/>
      <c r="N32" s="752"/>
      <c r="O32" s="752"/>
      <c r="P32" s="752"/>
      <c r="Q32" s="752"/>
      <c r="R32" s="749"/>
      <c r="S32" s="753"/>
    </row>
    <row r="33" spans="1:19" ht="12" customHeight="1">
      <c r="A33" s="747" t="s">
        <v>316</v>
      </c>
      <c r="B33" s="748" t="s">
        <v>323</v>
      </c>
      <c r="C33" s="749" t="s">
        <v>327</v>
      </c>
      <c r="D33" s="750" t="s">
        <v>4</v>
      </c>
      <c r="E33" s="751"/>
      <c r="F33" s="751">
        <v>4500</v>
      </c>
      <c r="G33" s="752">
        <v>3290</v>
      </c>
      <c r="H33" s="752">
        <v>1210</v>
      </c>
      <c r="I33" s="752"/>
      <c r="J33" s="752"/>
      <c r="K33" s="752"/>
      <c r="L33" s="752"/>
      <c r="M33" s="752"/>
      <c r="N33" s="752"/>
      <c r="O33" s="752"/>
      <c r="P33" s="752"/>
      <c r="Q33" s="752"/>
      <c r="R33" s="749"/>
      <c r="S33" s="753"/>
    </row>
    <row r="34" spans="1:19" ht="12" customHeight="1">
      <c r="A34" s="747"/>
      <c r="B34" s="748"/>
      <c r="C34" s="749"/>
      <c r="D34" s="750" t="s">
        <v>976</v>
      </c>
      <c r="E34" s="751"/>
      <c r="F34" s="751">
        <v>5470</v>
      </c>
      <c r="G34" s="752">
        <v>4090</v>
      </c>
      <c r="H34" s="752">
        <v>1380</v>
      </c>
      <c r="I34" s="752"/>
      <c r="J34" s="752"/>
      <c r="K34" s="752"/>
      <c r="L34" s="752"/>
      <c r="M34" s="752"/>
      <c r="N34" s="752"/>
      <c r="O34" s="752"/>
      <c r="P34" s="752"/>
      <c r="Q34" s="752"/>
      <c r="R34" s="749"/>
      <c r="S34" s="753"/>
    </row>
    <row r="35" spans="1:19" ht="12" customHeight="1">
      <c r="A35" s="747"/>
      <c r="B35" s="748"/>
      <c r="C35" s="749"/>
      <c r="D35" s="754" t="s">
        <v>1032</v>
      </c>
      <c r="E35" s="751"/>
      <c r="F35" s="751">
        <v>4772</v>
      </c>
      <c r="G35" s="752">
        <v>3393</v>
      </c>
      <c r="H35" s="752">
        <v>1379</v>
      </c>
      <c r="I35" s="752"/>
      <c r="J35" s="752"/>
      <c r="K35" s="752"/>
      <c r="L35" s="752"/>
      <c r="M35" s="752"/>
      <c r="N35" s="752"/>
      <c r="O35" s="752"/>
      <c r="P35" s="752"/>
      <c r="Q35" s="752"/>
      <c r="R35" s="749"/>
      <c r="S35" s="753"/>
    </row>
    <row r="36" spans="1:19" ht="12" customHeight="1">
      <c r="A36" s="747" t="s">
        <v>309</v>
      </c>
      <c r="B36" s="748" t="s">
        <v>328</v>
      </c>
      <c r="C36" s="749" t="s">
        <v>329</v>
      </c>
      <c r="D36" s="750" t="s">
        <v>4</v>
      </c>
      <c r="E36" s="751">
        <v>1107179</v>
      </c>
      <c r="F36" s="751">
        <v>0</v>
      </c>
      <c r="G36" s="752"/>
      <c r="H36" s="752"/>
      <c r="I36" s="752"/>
      <c r="J36" s="752"/>
      <c r="K36" s="752"/>
      <c r="L36" s="752"/>
      <c r="M36" s="752"/>
      <c r="N36" s="752"/>
      <c r="O36" s="752"/>
      <c r="P36" s="752"/>
      <c r="Q36" s="752"/>
      <c r="R36" s="749"/>
      <c r="S36" s="753"/>
    </row>
    <row r="37" spans="1:19" ht="12" customHeight="1">
      <c r="A37" s="747"/>
      <c r="B37" s="748"/>
      <c r="C37" s="749"/>
      <c r="D37" s="750" t="s">
        <v>976</v>
      </c>
      <c r="E37" s="751">
        <v>1211600</v>
      </c>
      <c r="F37" s="751">
        <v>35131</v>
      </c>
      <c r="G37" s="752"/>
      <c r="H37" s="752"/>
      <c r="I37" s="752"/>
      <c r="J37" s="752"/>
      <c r="K37" s="752"/>
      <c r="L37" s="752"/>
      <c r="M37" s="752"/>
      <c r="N37" s="752"/>
      <c r="O37" s="752"/>
      <c r="P37" s="752"/>
      <c r="Q37" s="752">
        <v>35131</v>
      </c>
      <c r="R37" s="749"/>
      <c r="S37" s="753"/>
    </row>
    <row r="38" spans="1:19" ht="12" customHeight="1">
      <c r="A38" s="747"/>
      <c r="B38" s="748"/>
      <c r="C38" s="749"/>
      <c r="D38" s="750" t="s">
        <v>1032</v>
      </c>
      <c r="E38" s="751">
        <v>1211602</v>
      </c>
      <c r="F38" s="751">
        <v>35131</v>
      </c>
      <c r="G38" s="752"/>
      <c r="H38" s="752"/>
      <c r="I38" s="752"/>
      <c r="J38" s="752"/>
      <c r="K38" s="752"/>
      <c r="L38" s="752"/>
      <c r="M38" s="752"/>
      <c r="N38" s="752"/>
      <c r="O38" s="752"/>
      <c r="P38" s="752"/>
      <c r="Q38" s="752">
        <v>35131</v>
      </c>
      <c r="R38" s="749"/>
      <c r="S38" s="753"/>
    </row>
    <row r="39" spans="1:19" ht="12" customHeight="1">
      <c r="A39" s="747" t="s">
        <v>309</v>
      </c>
      <c r="B39" s="748" t="s">
        <v>330</v>
      </c>
      <c r="C39" s="749" t="s">
        <v>331</v>
      </c>
      <c r="D39" s="750" t="s">
        <v>4</v>
      </c>
      <c r="E39" s="751"/>
      <c r="F39" s="751">
        <v>5600</v>
      </c>
      <c r="G39" s="752"/>
      <c r="H39" s="752"/>
      <c r="I39" s="752"/>
      <c r="J39" s="752">
        <v>5600</v>
      </c>
      <c r="K39" s="752"/>
      <c r="L39" s="752"/>
      <c r="M39" s="752"/>
      <c r="N39" s="752"/>
      <c r="O39" s="752"/>
      <c r="P39" s="752"/>
      <c r="Q39" s="752"/>
      <c r="R39" s="749"/>
      <c r="S39" s="753"/>
    </row>
    <row r="40" spans="1:19" ht="12" customHeight="1">
      <c r="A40" s="747"/>
      <c r="B40" s="748"/>
      <c r="C40" s="749"/>
      <c r="D40" s="750" t="s">
        <v>976</v>
      </c>
      <c r="E40" s="751"/>
      <c r="F40" s="751">
        <v>10508</v>
      </c>
      <c r="G40" s="752"/>
      <c r="H40" s="752"/>
      <c r="I40" s="752"/>
      <c r="J40" s="752">
        <v>10508</v>
      </c>
      <c r="K40" s="752"/>
      <c r="L40" s="752"/>
      <c r="M40" s="752"/>
      <c r="N40" s="752"/>
      <c r="O40" s="752"/>
      <c r="P40" s="752"/>
      <c r="Q40" s="752"/>
      <c r="R40" s="749"/>
      <c r="S40" s="753"/>
    </row>
    <row r="41" spans="1:19" ht="12" customHeight="1">
      <c r="A41" s="747"/>
      <c r="B41" s="748"/>
      <c r="C41" s="749"/>
      <c r="D41" s="754" t="s">
        <v>1032</v>
      </c>
      <c r="E41" s="751">
        <v>70109</v>
      </c>
      <c r="F41" s="751">
        <v>10507</v>
      </c>
      <c r="G41" s="755"/>
      <c r="H41" s="755"/>
      <c r="I41" s="755"/>
      <c r="J41" s="755">
        <v>10507</v>
      </c>
      <c r="K41" s="755"/>
      <c r="L41" s="755"/>
      <c r="M41" s="755"/>
      <c r="N41" s="755"/>
      <c r="O41" s="755"/>
      <c r="P41" s="755"/>
      <c r="Q41" s="755"/>
      <c r="R41" s="749"/>
      <c r="S41" s="753"/>
    </row>
    <row r="42" spans="1:19" ht="12" customHeight="1">
      <c r="A42" s="747" t="s">
        <v>309</v>
      </c>
      <c r="B42" s="748" t="s">
        <v>332</v>
      </c>
      <c r="C42" s="749" t="s">
        <v>333</v>
      </c>
      <c r="D42" s="750" t="s">
        <v>4</v>
      </c>
      <c r="E42" s="751"/>
      <c r="F42" s="751">
        <v>1656216</v>
      </c>
      <c r="G42" s="755"/>
      <c r="H42" s="755"/>
      <c r="I42" s="755"/>
      <c r="J42" s="755"/>
      <c r="K42" s="755"/>
      <c r="L42" s="755"/>
      <c r="M42" s="755"/>
      <c r="N42" s="755"/>
      <c r="O42" s="755"/>
      <c r="P42" s="755"/>
      <c r="Q42" s="755"/>
      <c r="R42" s="752">
        <v>1656216</v>
      </c>
      <c r="S42" s="753"/>
    </row>
    <row r="43" spans="1:19" ht="12" customHeight="1">
      <c r="A43" s="747"/>
      <c r="B43" s="748"/>
      <c r="C43" s="749"/>
      <c r="D43" s="750" t="s">
        <v>976</v>
      </c>
      <c r="E43" s="751"/>
      <c r="F43" s="751">
        <v>1606891</v>
      </c>
      <c r="G43" s="755"/>
      <c r="H43" s="755"/>
      <c r="I43" s="755"/>
      <c r="J43" s="755"/>
      <c r="K43" s="755"/>
      <c r="L43" s="755"/>
      <c r="M43" s="755"/>
      <c r="N43" s="755"/>
      <c r="O43" s="755"/>
      <c r="P43" s="755"/>
      <c r="Q43" s="755"/>
      <c r="R43" s="752">
        <v>1606891</v>
      </c>
      <c r="S43" s="753"/>
    </row>
    <row r="44" spans="1:19" ht="12" customHeight="1">
      <c r="A44" s="747"/>
      <c r="B44" s="748"/>
      <c r="C44" s="749"/>
      <c r="D44" s="750" t="s">
        <v>1032</v>
      </c>
      <c r="E44" s="751">
        <v>81606</v>
      </c>
      <c r="F44" s="751">
        <v>1581155</v>
      </c>
      <c r="G44" s="755"/>
      <c r="H44" s="755"/>
      <c r="I44" s="755"/>
      <c r="J44" s="755"/>
      <c r="K44" s="755"/>
      <c r="L44" s="755"/>
      <c r="M44" s="755"/>
      <c r="N44" s="755"/>
      <c r="O44" s="755"/>
      <c r="P44" s="755"/>
      <c r="Q44" s="755"/>
      <c r="R44" s="752">
        <v>1581155</v>
      </c>
      <c r="S44" s="753"/>
    </row>
    <row r="45" spans="1:19" ht="12" customHeight="1">
      <c r="A45" s="747" t="s">
        <v>313</v>
      </c>
      <c r="B45" s="748" t="s">
        <v>334</v>
      </c>
      <c r="C45" s="749" t="s">
        <v>335</v>
      </c>
      <c r="D45" s="750" t="s">
        <v>4</v>
      </c>
      <c r="E45" s="751"/>
      <c r="F45" s="751">
        <v>0</v>
      </c>
      <c r="G45" s="755"/>
      <c r="H45" s="755"/>
      <c r="I45" s="755"/>
      <c r="J45" s="755"/>
      <c r="K45" s="755"/>
      <c r="L45" s="755"/>
      <c r="M45" s="755"/>
      <c r="N45" s="755"/>
      <c r="O45" s="755"/>
      <c r="P45" s="755"/>
      <c r="Q45" s="755"/>
      <c r="R45" s="749"/>
      <c r="S45" s="753"/>
    </row>
    <row r="46" spans="1:19" ht="12" customHeight="1">
      <c r="A46" s="747"/>
      <c r="B46" s="748"/>
      <c r="C46" s="749"/>
      <c r="D46" s="750" t="s">
        <v>976</v>
      </c>
      <c r="E46" s="751"/>
      <c r="F46" s="751">
        <v>0</v>
      </c>
      <c r="G46" s="755"/>
      <c r="H46" s="755"/>
      <c r="I46" s="755"/>
      <c r="J46" s="755"/>
      <c r="K46" s="755"/>
      <c r="L46" s="755"/>
      <c r="M46" s="755"/>
      <c r="N46" s="755"/>
      <c r="O46" s="755"/>
      <c r="P46" s="755"/>
      <c r="Q46" s="755"/>
      <c r="R46" s="749"/>
      <c r="S46" s="753"/>
    </row>
    <row r="47" spans="1:19" ht="12" customHeight="1">
      <c r="A47" s="747"/>
      <c r="B47" s="748"/>
      <c r="C47" s="749"/>
      <c r="D47" s="754" t="s">
        <v>1032</v>
      </c>
      <c r="E47" s="751"/>
      <c r="F47" s="751">
        <v>0</v>
      </c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55"/>
      <c r="R47" s="749"/>
      <c r="S47" s="753"/>
    </row>
    <row r="48" spans="1:19" ht="12" customHeight="1">
      <c r="A48" s="747" t="s">
        <v>313</v>
      </c>
      <c r="B48" s="748" t="s">
        <v>336</v>
      </c>
      <c r="C48" s="749" t="s">
        <v>195</v>
      </c>
      <c r="D48" s="750" t="s">
        <v>4</v>
      </c>
      <c r="E48" s="751"/>
      <c r="F48" s="751">
        <v>2000</v>
      </c>
      <c r="G48" s="755"/>
      <c r="H48" s="755"/>
      <c r="I48" s="755"/>
      <c r="J48" s="755">
        <v>2000</v>
      </c>
      <c r="K48" s="755"/>
      <c r="L48" s="755"/>
      <c r="M48" s="755"/>
      <c r="N48" s="755"/>
      <c r="O48" s="755"/>
      <c r="P48" s="755"/>
      <c r="Q48" s="755"/>
      <c r="R48" s="749"/>
      <c r="S48" s="753"/>
    </row>
    <row r="49" spans="1:19" ht="12" customHeight="1">
      <c r="A49" s="747"/>
      <c r="B49" s="748"/>
      <c r="C49" s="749"/>
      <c r="D49" s="750" t="s">
        <v>976</v>
      </c>
      <c r="E49" s="751"/>
      <c r="F49" s="751">
        <v>4000</v>
      </c>
      <c r="G49" s="755"/>
      <c r="H49" s="755"/>
      <c r="I49" s="755"/>
      <c r="J49" s="755">
        <v>4000</v>
      </c>
      <c r="K49" s="755"/>
      <c r="L49" s="755"/>
      <c r="M49" s="755"/>
      <c r="N49" s="755"/>
      <c r="O49" s="755"/>
      <c r="P49" s="755"/>
      <c r="Q49" s="755"/>
      <c r="R49" s="749"/>
      <c r="S49" s="753"/>
    </row>
    <row r="50" spans="1:19" ht="12" customHeight="1">
      <c r="A50" s="747"/>
      <c r="B50" s="748"/>
      <c r="C50" s="749"/>
      <c r="D50" s="750" t="s">
        <v>1032</v>
      </c>
      <c r="E50" s="751"/>
      <c r="F50" s="751">
        <v>4000</v>
      </c>
      <c r="G50" s="755"/>
      <c r="H50" s="755"/>
      <c r="I50" s="755"/>
      <c r="J50" s="755">
        <v>4000</v>
      </c>
      <c r="K50" s="755"/>
      <c r="L50" s="755"/>
      <c r="M50" s="755"/>
      <c r="N50" s="755"/>
      <c r="O50" s="755"/>
      <c r="P50" s="755"/>
      <c r="Q50" s="755"/>
      <c r="R50" s="749"/>
      <c r="S50" s="753"/>
    </row>
    <row r="51" spans="1:19" ht="12" customHeight="1">
      <c r="A51" s="747" t="s">
        <v>313</v>
      </c>
      <c r="B51" s="748" t="s">
        <v>337</v>
      </c>
      <c r="C51" s="749" t="s">
        <v>768</v>
      </c>
      <c r="D51" s="750" t="s">
        <v>4</v>
      </c>
      <c r="E51" s="751"/>
      <c r="F51" s="751">
        <v>4001</v>
      </c>
      <c r="G51" s="755"/>
      <c r="H51" s="755"/>
      <c r="I51" s="755">
        <v>4001</v>
      </c>
      <c r="J51" s="755"/>
      <c r="K51" s="755"/>
      <c r="L51" s="755"/>
      <c r="M51" s="755"/>
      <c r="N51" s="755"/>
      <c r="O51" s="755"/>
      <c r="P51" s="755"/>
      <c r="Q51" s="755"/>
      <c r="R51" s="749"/>
      <c r="S51" s="753"/>
    </row>
    <row r="52" spans="1:19" ht="12" customHeight="1">
      <c r="A52" s="747"/>
      <c r="B52" s="748"/>
      <c r="C52" s="749"/>
      <c r="D52" s="750" t="s">
        <v>976</v>
      </c>
      <c r="E52" s="751"/>
      <c r="F52" s="751">
        <v>4001</v>
      </c>
      <c r="G52" s="755"/>
      <c r="H52" s="755"/>
      <c r="I52" s="755">
        <v>4001</v>
      </c>
      <c r="J52" s="755"/>
      <c r="K52" s="755"/>
      <c r="L52" s="755"/>
      <c r="M52" s="755"/>
      <c r="N52" s="755"/>
      <c r="O52" s="755"/>
      <c r="P52" s="755"/>
      <c r="Q52" s="755"/>
      <c r="R52" s="749"/>
      <c r="S52" s="753"/>
    </row>
    <row r="53" spans="1:19" ht="12" customHeight="1">
      <c r="A53" s="747"/>
      <c r="B53" s="748"/>
      <c r="C53" s="749"/>
      <c r="D53" s="754" t="s">
        <v>1032</v>
      </c>
      <c r="E53" s="751"/>
      <c r="F53" s="751">
        <v>2618</v>
      </c>
      <c r="G53" s="755">
        <v>40</v>
      </c>
      <c r="H53" s="755"/>
      <c r="I53" s="755">
        <v>2578</v>
      </c>
      <c r="J53" s="755"/>
      <c r="K53" s="755"/>
      <c r="L53" s="755"/>
      <c r="M53" s="755"/>
      <c r="N53" s="755"/>
      <c r="O53" s="755"/>
      <c r="P53" s="755"/>
      <c r="Q53" s="755"/>
      <c r="R53" s="749"/>
      <c r="S53" s="753"/>
    </row>
    <row r="54" spans="1:19" ht="12" customHeight="1">
      <c r="A54" s="747" t="s">
        <v>313</v>
      </c>
      <c r="B54" s="748" t="s">
        <v>338</v>
      </c>
      <c r="C54" s="749" t="s">
        <v>339</v>
      </c>
      <c r="D54" s="750" t="s">
        <v>4</v>
      </c>
      <c r="E54" s="751">
        <v>20500</v>
      </c>
      <c r="F54" s="751">
        <v>24134</v>
      </c>
      <c r="G54" s="755">
        <v>19325</v>
      </c>
      <c r="H54" s="755">
        <v>2609</v>
      </c>
      <c r="I54" s="755">
        <v>2200</v>
      </c>
      <c r="J54" s="755"/>
      <c r="K54" s="755"/>
      <c r="L54" s="755"/>
      <c r="M54" s="755"/>
      <c r="N54" s="755"/>
      <c r="O54" s="755"/>
      <c r="P54" s="755"/>
      <c r="Q54" s="755"/>
      <c r="R54" s="749"/>
      <c r="S54" s="753"/>
    </row>
    <row r="55" spans="1:19" ht="12" customHeight="1">
      <c r="A55" s="747"/>
      <c r="B55" s="748"/>
      <c r="C55" s="749"/>
      <c r="D55" s="750" t="s">
        <v>976</v>
      </c>
      <c r="E55" s="751">
        <v>6910</v>
      </c>
      <c r="F55" s="751">
        <v>6909</v>
      </c>
      <c r="G55" s="755">
        <v>6099</v>
      </c>
      <c r="H55" s="755">
        <v>810</v>
      </c>
      <c r="I55" s="755">
        <v>0</v>
      </c>
      <c r="J55" s="755"/>
      <c r="K55" s="755"/>
      <c r="L55" s="755"/>
      <c r="M55" s="755"/>
      <c r="N55" s="755"/>
      <c r="O55" s="755"/>
      <c r="P55" s="755"/>
      <c r="Q55" s="755"/>
      <c r="R55" s="749"/>
      <c r="S55" s="753"/>
    </row>
    <row r="56" spans="1:19" ht="12" customHeight="1">
      <c r="A56" s="747"/>
      <c r="B56" s="748"/>
      <c r="C56" s="749"/>
      <c r="D56" s="750" t="s">
        <v>1032</v>
      </c>
      <c r="E56" s="751">
        <v>6910</v>
      </c>
      <c r="F56" s="751">
        <v>6395</v>
      </c>
      <c r="G56" s="755">
        <v>5586</v>
      </c>
      <c r="H56" s="755">
        <v>809</v>
      </c>
      <c r="I56" s="755">
        <v>0</v>
      </c>
      <c r="J56" s="755"/>
      <c r="K56" s="755"/>
      <c r="L56" s="755"/>
      <c r="M56" s="755"/>
      <c r="N56" s="755"/>
      <c r="O56" s="755"/>
      <c r="P56" s="755"/>
      <c r="Q56" s="755"/>
      <c r="R56" s="749"/>
      <c r="S56" s="753"/>
    </row>
    <row r="57" spans="1:19" ht="12" customHeight="1">
      <c r="A57" s="747" t="s">
        <v>313</v>
      </c>
      <c r="B57" s="748" t="s">
        <v>340</v>
      </c>
      <c r="C57" s="749" t="s">
        <v>341</v>
      </c>
      <c r="D57" s="750" t="s">
        <v>4</v>
      </c>
      <c r="E57" s="751">
        <v>103000</v>
      </c>
      <c r="F57" s="751">
        <v>137252</v>
      </c>
      <c r="G57" s="755">
        <v>115200</v>
      </c>
      <c r="H57" s="755">
        <v>15552</v>
      </c>
      <c r="I57" s="755">
        <v>6500</v>
      </c>
      <c r="J57" s="755"/>
      <c r="K57" s="755"/>
      <c r="L57" s="755"/>
      <c r="M57" s="755"/>
      <c r="N57" s="755"/>
      <c r="O57" s="755"/>
      <c r="P57" s="755"/>
      <c r="Q57" s="755"/>
      <c r="R57" s="749"/>
      <c r="S57" s="753"/>
    </row>
    <row r="58" spans="1:19" ht="12" customHeight="1">
      <c r="A58" s="747"/>
      <c r="B58" s="748"/>
      <c r="C58" s="749"/>
      <c r="D58" s="750" t="s">
        <v>976</v>
      </c>
      <c r="E58" s="751">
        <v>104635</v>
      </c>
      <c r="F58" s="751">
        <v>115500</v>
      </c>
      <c r="G58" s="755">
        <v>82075</v>
      </c>
      <c r="H58" s="755">
        <v>11987</v>
      </c>
      <c r="I58" s="755">
        <v>4143</v>
      </c>
      <c r="J58" s="755"/>
      <c r="K58" s="755"/>
      <c r="L58" s="755"/>
      <c r="M58" s="755"/>
      <c r="N58" s="755">
        <v>17295</v>
      </c>
      <c r="O58" s="755"/>
      <c r="P58" s="755"/>
      <c r="Q58" s="755"/>
      <c r="R58" s="749"/>
      <c r="S58" s="753"/>
    </row>
    <row r="59" spans="1:19" ht="12" customHeight="1">
      <c r="A59" s="747"/>
      <c r="B59" s="748"/>
      <c r="C59" s="749"/>
      <c r="D59" s="754" t="s">
        <v>1032</v>
      </c>
      <c r="E59" s="751">
        <v>104635</v>
      </c>
      <c r="F59" s="751">
        <v>110335</v>
      </c>
      <c r="G59" s="755">
        <v>77559</v>
      </c>
      <c r="H59" s="755">
        <v>11938</v>
      </c>
      <c r="I59" s="755">
        <v>3546</v>
      </c>
      <c r="J59" s="755"/>
      <c r="K59" s="755"/>
      <c r="L59" s="755"/>
      <c r="M59" s="755"/>
      <c r="N59" s="755">
        <v>17292</v>
      </c>
      <c r="O59" s="755"/>
      <c r="P59" s="755"/>
      <c r="Q59" s="755"/>
      <c r="R59" s="749"/>
      <c r="S59" s="753"/>
    </row>
    <row r="60" spans="1:19" ht="12" customHeight="1">
      <c r="A60" s="747" t="s">
        <v>313</v>
      </c>
      <c r="B60" s="748" t="s">
        <v>342</v>
      </c>
      <c r="C60" s="749" t="s">
        <v>343</v>
      </c>
      <c r="D60" s="750" t="s">
        <v>4</v>
      </c>
      <c r="E60" s="751"/>
      <c r="F60" s="751">
        <v>0</v>
      </c>
      <c r="G60" s="755"/>
      <c r="H60" s="755"/>
      <c r="I60" s="755"/>
      <c r="J60" s="755"/>
      <c r="K60" s="755"/>
      <c r="L60" s="755"/>
      <c r="M60" s="755"/>
      <c r="N60" s="755"/>
      <c r="O60" s="755"/>
      <c r="P60" s="755"/>
      <c r="Q60" s="755"/>
      <c r="R60" s="749"/>
      <c r="S60" s="753"/>
    </row>
    <row r="61" spans="1:19" ht="12" customHeight="1">
      <c r="A61" s="747"/>
      <c r="B61" s="748"/>
      <c r="C61" s="749"/>
      <c r="D61" s="750" t="s">
        <v>976</v>
      </c>
      <c r="E61" s="751"/>
      <c r="F61" s="751">
        <v>0</v>
      </c>
      <c r="G61" s="755"/>
      <c r="H61" s="755"/>
      <c r="I61" s="755"/>
      <c r="J61" s="755"/>
      <c r="K61" s="755"/>
      <c r="L61" s="755"/>
      <c r="M61" s="755"/>
      <c r="N61" s="755"/>
      <c r="O61" s="755"/>
      <c r="P61" s="755"/>
      <c r="Q61" s="755"/>
      <c r="R61" s="749"/>
      <c r="S61" s="753"/>
    </row>
    <row r="62" spans="1:19" ht="12" customHeight="1">
      <c r="A62" s="747"/>
      <c r="B62" s="748"/>
      <c r="C62" s="749"/>
      <c r="D62" s="750" t="s">
        <v>1032</v>
      </c>
      <c r="E62" s="751"/>
      <c r="F62" s="751">
        <v>0</v>
      </c>
      <c r="G62" s="755"/>
      <c r="H62" s="755"/>
      <c r="I62" s="755"/>
      <c r="J62" s="755"/>
      <c r="K62" s="755"/>
      <c r="L62" s="755"/>
      <c r="M62" s="755"/>
      <c r="N62" s="755"/>
      <c r="O62" s="755"/>
      <c r="P62" s="755"/>
      <c r="Q62" s="755"/>
      <c r="R62" s="749"/>
      <c r="S62" s="753"/>
    </row>
    <row r="63" spans="1:19" ht="12" customHeight="1">
      <c r="A63" s="747" t="s">
        <v>313</v>
      </c>
      <c r="B63" s="748" t="s">
        <v>344</v>
      </c>
      <c r="C63" s="749" t="s">
        <v>345</v>
      </c>
      <c r="D63" s="750" t="s">
        <v>4</v>
      </c>
      <c r="E63" s="751">
        <v>3556</v>
      </c>
      <c r="F63" s="751">
        <v>15031</v>
      </c>
      <c r="G63" s="755"/>
      <c r="H63" s="755"/>
      <c r="I63" s="755">
        <v>15031</v>
      </c>
      <c r="J63" s="755"/>
      <c r="K63" s="755"/>
      <c r="L63" s="755"/>
      <c r="M63" s="755"/>
      <c r="N63" s="755"/>
      <c r="O63" s="755"/>
      <c r="P63" s="755"/>
      <c r="Q63" s="755"/>
      <c r="R63" s="749"/>
      <c r="S63" s="753"/>
    </row>
    <row r="64" spans="1:19" ht="12" customHeight="1">
      <c r="A64" s="747"/>
      <c r="B64" s="748"/>
      <c r="C64" s="749"/>
      <c r="D64" s="750" t="s">
        <v>976</v>
      </c>
      <c r="E64" s="751">
        <v>545</v>
      </c>
      <c r="F64" s="751">
        <v>13284</v>
      </c>
      <c r="G64" s="755"/>
      <c r="H64" s="755"/>
      <c r="I64" s="755">
        <v>13284</v>
      </c>
      <c r="J64" s="755"/>
      <c r="K64" s="755"/>
      <c r="L64" s="755"/>
      <c r="M64" s="755"/>
      <c r="N64" s="755"/>
      <c r="O64" s="755"/>
      <c r="P64" s="755"/>
      <c r="Q64" s="755"/>
      <c r="R64" s="749"/>
      <c r="S64" s="753"/>
    </row>
    <row r="65" spans="1:19" ht="12" customHeight="1">
      <c r="A65" s="747"/>
      <c r="B65" s="748"/>
      <c r="C65" s="749"/>
      <c r="D65" s="754" t="s">
        <v>1032</v>
      </c>
      <c r="E65" s="751">
        <v>0</v>
      </c>
      <c r="F65" s="751">
        <v>8428</v>
      </c>
      <c r="G65" s="752"/>
      <c r="H65" s="752"/>
      <c r="I65" s="752">
        <v>8428</v>
      </c>
      <c r="J65" s="752"/>
      <c r="K65" s="752"/>
      <c r="L65" s="752"/>
      <c r="M65" s="752"/>
      <c r="N65" s="752"/>
      <c r="O65" s="752"/>
      <c r="P65" s="752"/>
      <c r="Q65" s="752"/>
      <c r="R65" s="749"/>
      <c r="S65" s="753"/>
    </row>
    <row r="66" spans="1:19" ht="12" customHeight="1">
      <c r="A66" s="747" t="s">
        <v>313</v>
      </c>
      <c r="B66" s="748" t="s">
        <v>346</v>
      </c>
      <c r="C66" s="749" t="s">
        <v>347</v>
      </c>
      <c r="D66" s="750" t="s">
        <v>4</v>
      </c>
      <c r="E66" s="751">
        <v>15000</v>
      </c>
      <c r="F66" s="751">
        <v>183070</v>
      </c>
      <c r="G66" s="752"/>
      <c r="H66" s="752"/>
      <c r="I66" s="752">
        <v>8661</v>
      </c>
      <c r="J66" s="752"/>
      <c r="K66" s="752"/>
      <c r="L66" s="752"/>
      <c r="M66" s="752">
        <v>70160</v>
      </c>
      <c r="N66" s="752">
        <v>89787</v>
      </c>
      <c r="O66" s="752">
        <v>14462</v>
      </c>
      <c r="P66" s="752"/>
      <c r="Q66" s="752"/>
      <c r="R66" s="749"/>
      <c r="S66" s="753"/>
    </row>
    <row r="67" spans="1:19" ht="12" customHeight="1">
      <c r="A67" s="747"/>
      <c r="B67" s="748"/>
      <c r="C67" s="749"/>
      <c r="D67" s="750" t="s">
        <v>976</v>
      </c>
      <c r="E67" s="751">
        <v>50312</v>
      </c>
      <c r="F67" s="751">
        <v>118114</v>
      </c>
      <c r="G67" s="752"/>
      <c r="H67" s="752"/>
      <c r="I67" s="752">
        <v>7672</v>
      </c>
      <c r="J67" s="752"/>
      <c r="K67" s="752"/>
      <c r="L67" s="752"/>
      <c r="M67" s="752">
        <v>26458</v>
      </c>
      <c r="N67" s="752">
        <v>69522</v>
      </c>
      <c r="O67" s="752">
        <v>14462</v>
      </c>
      <c r="P67" s="752"/>
      <c r="Q67" s="752"/>
      <c r="R67" s="749"/>
      <c r="S67" s="753"/>
    </row>
    <row r="68" spans="1:19" ht="12" customHeight="1">
      <c r="A68" s="747"/>
      <c r="B68" s="748"/>
      <c r="C68" s="749"/>
      <c r="D68" s="750" t="s">
        <v>1032</v>
      </c>
      <c r="E68" s="751">
        <v>41469</v>
      </c>
      <c r="F68" s="751">
        <v>94340</v>
      </c>
      <c r="G68" s="752"/>
      <c r="H68" s="752"/>
      <c r="I68" s="752">
        <v>3710</v>
      </c>
      <c r="J68" s="752"/>
      <c r="K68" s="752"/>
      <c r="L68" s="752"/>
      <c r="M68" s="752">
        <v>16321</v>
      </c>
      <c r="N68" s="752">
        <v>59847</v>
      </c>
      <c r="O68" s="752">
        <v>14462</v>
      </c>
      <c r="P68" s="752"/>
      <c r="Q68" s="752"/>
      <c r="R68" s="749"/>
      <c r="S68" s="753"/>
    </row>
    <row r="69" spans="1:19" ht="12" customHeight="1">
      <c r="A69" s="747" t="s">
        <v>313</v>
      </c>
      <c r="B69" s="748" t="s">
        <v>348</v>
      </c>
      <c r="C69" s="749" t="s">
        <v>349</v>
      </c>
      <c r="D69" s="750" t="s">
        <v>4</v>
      </c>
      <c r="E69" s="751"/>
      <c r="F69" s="751">
        <v>0</v>
      </c>
      <c r="G69" s="752"/>
      <c r="H69" s="752"/>
      <c r="I69" s="752"/>
      <c r="J69" s="752"/>
      <c r="K69" s="752"/>
      <c r="L69" s="752"/>
      <c r="M69" s="752"/>
      <c r="N69" s="752"/>
      <c r="O69" s="752"/>
      <c r="P69" s="752"/>
      <c r="Q69" s="752"/>
      <c r="R69" s="749"/>
      <c r="S69" s="753"/>
    </row>
    <row r="70" spans="1:19" ht="12" customHeight="1">
      <c r="A70" s="747"/>
      <c r="B70" s="748"/>
      <c r="C70" s="749"/>
      <c r="D70" s="750" t="s">
        <v>976</v>
      </c>
      <c r="E70" s="751"/>
      <c r="F70" s="751">
        <v>0</v>
      </c>
      <c r="G70" s="752"/>
      <c r="H70" s="752"/>
      <c r="I70" s="752"/>
      <c r="J70" s="752"/>
      <c r="K70" s="752"/>
      <c r="L70" s="752"/>
      <c r="M70" s="752"/>
      <c r="N70" s="752"/>
      <c r="O70" s="752"/>
      <c r="P70" s="752"/>
      <c r="Q70" s="752"/>
      <c r="R70" s="749"/>
      <c r="S70" s="753"/>
    </row>
    <row r="71" spans="1:19" ht="12" customHeight="1">
      <c r="A71" s="747"/>
      <c r="B71" s="748"/>
      <c r="C71" s="749"/>
      <c r="D71" s="754" t="s">
        <v>1032</v>
      </c>
      <c r="E71" s="751"/>
      <c r="F71" s="751">
        <v>0</v>
      </c>
      <c r="G71" s="755"/>
      <c r="H71" s="755"/>
      <c r="I71" s="755"/>
      <c r="J71" s="755"/>
      <c r="K71" s="755"/>
      <c r="L71" s="755"/>
      <c r="M71" s="755"/>
      <c r="N71" s="755"/>
      <c r="O71" s="755"/>
      <c r="P71" s="755"/>
      <c r="Q71" s="755"/>
      <c r="R71" s="749"/>
      <c r="S71" s="753"/>
    </row>
    <row r="72" spans="1:19" ht="12" customHeight="1" thickBot="1">
      <c r="A72" s="1042"/>
      <c r="B72" s="1043"/>
      <c r="C72" s="1042"/>
      <c r="D72" s="1044"/>
      <c r="E72" s="1045"/>
      <c r="F72" s="1045"/>
      <c r="G72" s="1046"/>
      <c r="H72" s="1046"/>
      <c r="I72" s="1046"/>
      <c r="J72" s="1046"/>
      <c r="K72" s="1046"/>
      <c r="L72" s="1046"/>
      <c r="M72" s="1046"/>
      <c r="N72" s="1046"/>
      <c r="O72" s="1046"/>
      <c r="P72" s="1046"/>
      <c r="Q72" s="1046"/>
      <c r="R72" s="1042"/>
      <c r="S72" s="1042"/>
    </row>
    <row r="73" spans="1:19" ht="12" customHeight="1">
      <c r="A73" s="1125" t="s">
        <v>313</v>
      </c>
      <c r="B73" s="1126" t="s">
        <v>350</v>
      </c>
      <c r="C73" s="1127" t="s">
        <v>351</v>
      </c>
      <c r="D73" s="1128" t="s">
        <v>4</v>
      </c>
      <c r="E73" s="1129"/>
      <c r="F73" s="1129">
        <v>78548</v>
      </c>
      <c r="G73" s="1130"/>
      <c r="H73" s="1130"/>
      <c r="I73" s="1130">
        <v>78548</v>
      </c>
      <c r="J73" s="1130"/>
      <c r="K73" s="1130"/>
      <c r="L73" s="1130"/>
      <c r="M73" s="1130"/>
      <c r="N73" s="1130"/>
      <c r="O73" s="1130"/>
      <c r="P73" s="1130"/>
      <c r="Q73" s="1130"/>
      <c r="R73" s="1127"/>
      <c r="S73" s="1131"/>
    </row>
    <row r="74" spans="1:19" ht="12" customHeight="1">
      <c r="A74" s="747"/>
      <c r="B74" s="748"/>
      <c r="C74" s="749"/>
      <c r="D74" s="750" t="s">
        <v>976</v>
      </c>
      <c r="E74" s="751"/>
      <c r="F74" s="751">
        <v>78548</v>
      </c>
      <c r="G74" s="755"/>
      <c r="H74" s="755"/>
      <c r="I74" s="755">
        <v>78548</v>
      </c>
      <c r="J74" s="755">
        <v>0</v>
      </c>
      <c r="K74" s="755"/>
      <c r="L74" s="755"/>
      <c r="M74" s="755"/>
      <c r="N74" s="755"/>
      <c r="O74" s="755"/>
      <c r="P74" s="755"/>
      <c r="Q74" s="755"/>
      <c r="R74" s="749"/>
      <c r="S74" s="753"/>
    </row>
    <row r="75" spans="1:19" ht="12" customHeight="1">
      <c r="A75" s="747"/>
      <c r="B75" s="748"/>
      <c r="C75" s="749"/>
      <c r="D75" s="750" t="s">
        <v>1032</v>
      </c>
      <c r="E75" s="751"/>
      <c r="F75" s="751">
        <v>60520</v>
      </c>
      <c r="G75" s="755"/>
      <c r="H75" s="755"/>
      <c r="I75" s="755">
        <v>60520</v>
      </c>
      <c r="J75" s="755">
        <v>0</v>
      </c>
      <c r="K75" s="755"/>
      <c r="L75" s="755"/>
      <c r="M75" s="755"/>
      <c r="N75" s="755"/>
      <c r="O75" s="755"/>
      <c r="P75" s="755"/>
      <c r="Q75" s="755"/>
      <c r="R75" s="749"/>
      <c r="S75" s="753"/>
    </row>
    <row r="76" spans="1:19" ht="12" customHeight="1">
      <c r="A76" s="747" t="s">
        <v>316</v>
      </c>
      <c r="B76" s="748" t="s">
        <v>352</v>
      </c>
      <c r="C76" s="749" t="s">
        <v>353</v>
      </c>
      <c r="D76" s="750" t="s">
        <v>4</v>
      </c>
      <c r="E76" s="751"/>
      <c r="F76" s="751">
        <v>50966</v>
      </c>
      <c r="G76" s="755"/>
      <c r="H76" s="755"/>
      <c r="I76" s="755"/>
      <c r="J76" s="755">
        <v>50966</v>
      </c>
      <c r="K76" s="755"/>
      <c r="L76" s="755"/>
      <c r="M76" s="755"/>
      <c r="N76" s="755"/>
      <c r="O76" s="755"/>
      <c r="P76" s="755"/>
      <c r="Q76" s="755"/>
      <c r="R76" s="749"/>
      <c r="S76" s="753"/>
    </row>
    <row r="77" spans="1:19" ht="12" customHeight="1">
      <c r="A77" s="747"/>
      <c r="B77" s="748"/>
      <c r="C77" s="749"/>
      <c r="D77" s="750" t="s">
        <v>976</v>
      </c>
      <c r="E77" s="751"/>
      <c r="F77" s="751">
        <v>52512</v>
      </c>
      <c r="G77" s="755"/>
      <c r="H77" s="755"/>
      <c r="I77" s="755"/>
      <c r="J77" s="755">
        <v>52512</v>
      </c>
      <c r="K77" s="755"/>
      <c r="L77" s="755"/>
      <c r="M77" s="755"/>
      <c r="N77" s="755"/>
      <c r="O77" s="755"/>
      <c r="P77" s="755"/>
      <c r="Q77" s="755"/>
      <c r="R77" s="749"/>
      <c r="S77" s="753"/>
    </row>
    <row r="78" spans="1:19" ht="12" customHeight="1">
      <c r="A78" s="747"/>
      <c r="B78" s="748"/>
      <c r="C78" s="749"/>
      <c r="D78" s="754" t="s">
        <v>1032</v>
      </c>
      <c r="E78" s="751"/>
      <c r="F78" s="751">
        <v>51232</v>
      </c>
      <c r="G78" s="755"/>
      <c r="H78" s="755"/>
      <c r="I78" s="755"/>
      <c r="J78" s="755">
        <v>51232</v>
      </c>
      <c r="K78" s="755"/>
      <c r="L78" s="755"/>
      <c r="M78" s="755"/>
      <c r="N78" s="755"/>
      <c r="O78" s="755"/>
      <c r="P78" s="755"/>
      <c r="Q78" s="755"/>
      <c r="R78" s="752"/>
      <c r="S78" s="753"/>
    </row>
    <row r="79" spans="1:19" ht="12.75" customHeight="1">
      <c r="A79" s="747" t="s">
        <v>313</v>
      </c>
      <c r="B79" s="748" t="s">
        <v>354</v>
      </c>
      <c r="C79" s="756" t="s">
        <v>355</v>
      </c>
      <c r="D79" s="750" t="s">
        <v>4</v>
      </c>
      <c r="E79" s="751"/>
      <c r="F79" s="751">
        <v>42955</v>
      </c>
      <c r="G79" s="755"/>
      <c r="H79" s="755"/>
      <c r="I79" s="755">
        <v>42955</v>
      </c>
      <c r="J79" s="755"/>
      <c r="K79" s="755"/>
      <c r="L79" s="755"/>
      <c r="M79" s="755"/>
      <c r="N79" s="755"/>
      <c r="O79" s="755"/>
      <c r="P79" s="755"/>
      <c r="Q79" s="755"/>
      <c r="R79" s="752"/>
      <c r="S79" s="753"/>
    </row>
    <row r="80" spans="1:19" ht="12" customHeight="1">
      <c r="A80" s="747"/>
      <c r="B80" s="748"/>
      <c r="C80" s="749"/>
      <c r="D80" s="750" t="s">
        <v>976</v>
      </c>
      <c r="E80" s="751"/>
      <c r="F80" s="751">
        <v>42955</v>
      </c>
      <c r="G80" s="755"/>
      <c r="H80" s="755"/>
      <c r="I80" s="755">
        <v>42955</v>
      </c>
      <c r="J80" s="755">
        <v>0</v>
      </c>
      <c r="K80" s="755"/>
      <c r="L80" s="755"/>
      <c r="M80" s="755"/>
      <c r="N80" s="755"/>
      <c r="O80" s="755"/>
      <c r="P80" s="755"/>
      <c r="Q80" s="755"/>
      <c r="R80" s="752"/>
      <c r="S80" s="753"/>
    </row>
    <row r="81" spans="1:19" ht="12" customHeight="1">
      <c r="A81" s="747"/>
      <c r="B81" s="748"/>
      <c r="C81" s="749"/>
      <c r="D81" s="750" t="s">
        <v>1032</v>
      </c>
      <c r="E81" s="751"/>
      <c r="F81" s="751">
        <v>36590</v>
      </c>
      <c r="G81" s="755"/>
      <c r="H81" s="755"/>
      <c r="I81" s="755">
        <v>36590</v>
      </c>
      <c r="J81" s="755"/>
      <c r="K81" s="755"/>
      <c r="L81" s="755"/>
      <c r="M81" s="755"/>
      <c r="N81" s="755"/>
      <c r="O81" s="755"/>
      <c r="P81" s="755"/>
      <c r="Q81" s="755"/>
      <c r="R81" s="752"/>
      <c r="S81" s="753"/>
    </row>
    <row r="82" spans="1:19" ht="12" customHeight="1">
      <c r="A82" s="747" t="s">
        <v>313</v>
      </c>
      <c r="B82" s="748" t="s">
        <v>227</v>
      </c>
      <c r="C82" s="749" t="s">
        <v>356</v>
      </c>
      <c r="D82" s="750" t="s">
        <v>4</v>
      </c>
      <c r="E82" s="751">
        <v>44220</v>
      </c>
      <c r="F82" s="751">
        <v>50867</v>
      </c>
      <c r="G82" s="755"/>
      <c r="H82" s="755"/>
      <c r="I82" s="755">
        <v>20247</v>
      </c>
      <c r="J82" s="755"/>
      <c r="K82" s="755"/>
      <c r="L82" s="755"/>
      <c r="M82" s="755">
        <v>30620</v>
      </c>
      <c r="N82" s="755"/>
      <c r="O82" s="755"/>
      <c r="P82" s="755"/>
      <c r="Q82" s="755"/>
      <c r="R82" s="752"/>
      <c r="S82" s="753"/>
    </row>
    <row r="83" spans="1:19" ht="12" customHeight="1">
      <c r="A83" s="747"/>
      <c r="B83" s="748"/>
      <c r="C83" s="749"/>
      <c r="D83" s="750" t="s">
        <v>976</v>
      </c>
      <c r="E83" s="751">
        <v>17136</v>
      </c>
      <c r="F83" s="751">
        <v>44223</v>
      </c>
      <c r="G83" s="755"/>
      <c r="H83" s="755"/>
      <c r="I83" s="755">
        <v>15396</v>
      </c>
      <c r="J83" s="755">
        <v>0</v>
      </c>
      <c r="K83" s="755"/>
      <c r="L83" s="755"/>
      <c r="M83" s="755">
        <v>28826</v>
      </c>
      <c r="N83" s="755"/>
      <c r="O83" s="755">
        <v>1</v>
      </c>
      <c r="P83" s="755"/>
      <c r="Q83" s="755"/>
      <c r="R83" s="752"/>
      <c r="S83" s="753"/>
    </row>
    <row r="84" spans="1:19" ht="12" customHeight="1">
      <c r="A84" s="747"/>
      <c r="B84" s="748"/>
      <c r="C84" s="749"/>
      <c r="D84" s="754" t="s">
        <v>1032</v>
      </c>
      <c r="E84" s="751">
        <v>17023</v>
      </c>
      <c r="F84" s="751">
        <v>40029</v>
      </c>
      <c r="G84" s="752"/>
      <c r="H84" s="752"/>
      <c r="I84" s="752">
        <v>11657</v>
      </c>
      <c r="J84" s="752">
        <v>0</v>
      </c>
      <c r="K84" s="752"/>
      <c r="L84" s="752"/>
      <c r="M84" s="752">
        <v>28371</v>
      </c>
      <c r="N84" s="752"/>
      <c r="O84" s="752">
        <v>1</v>
      </c>
      <c r="P84" s="752"/>
      <c r="Q84" s="752"/>
      <c r="R84" s="749"/>
      <c r="S84" s="753"/>
    </row>
    <row r="85" spans="1:19" ht="12" customHeight="1">
      <c r="A85" s="747" t="s">
        <v>313</v>
      </c>
      <c r="B85" s="748" t="s">
        <v>357</v>
      </c>
      <c r="C85" s="749" t="s">
        <v>358</v>
      </c>
      <c r="D85" s="750" t="s">
        <v>4</v>
      </c>
      <c r="E85" s="751">
        <v>600</v>
      </c>
      <c r="F85" s="751">
        <v>73283</v>
      </c>
      <c r="G85" s="752">
        <v>1000</v>
      </c>
      <c r="H85" s="752">
        <v>512</v>
      </c>
      <c r="I85" s="752">
        <v>56451</v>
      </c>
      <c r="J85" s="752"/>
      <c r="K85" s="752"/>
      <c r="L85" s="752"/>
      <c r="M85" s="752">
        <v>0</v>
      </c>
      <c r="N85" s="752">
        <v>15320</v>
      </c>
      <c r="O85" s="752"/>
      <c r="P85" s="752"/>
      <c r="Q85" s="752"/>
      <c r="R85" s="749"/>
      <c r="S85" s="753"/>
    </row>
    <row r="86" spans="1:19" ht="12" customHeight="1">
      <c r="A86" s="747"/>
      <c r="B86" s="748"/>
      <c r="C86" s="749"/>
      <c r="D86" s="750" t="s">
        <v>976</v>
      </c>
      <c r="E86" s="751">
        <v>300</v>
      </c>
      <c r="F86" s="751">
        <v>66438</v>
      </c>
      <c r="G86" s="752">
        <v>1000</v>
      </c>
      <c r="H86" s="752">
        <v>512</v>
      </c>
      <c r="I86" s="752">
        <v>54860</v>
      </c>
      <c r="J86" s="752">
        <v>0</v>
      </c>
      <c r="K86" s="752"/>
      <c r="L86" s="752"/>
      <c r="M86" s="752"/>
      <c r="N86" s="752">
        <v>10066</v>
      </c>
      <c r="O86" s="752"/>
      <c r="P86" s="752"/>
      <c r="Q86" s="752"/>
      <c r="R86" s="749"/>
      <c r="S86" s="753"/>
    </row>
    <row r="87" spans="1:19" ht="12" customHeight="1">
      <c r="A87" s="747"/>
      <c r="B87" s="748"/>
      <c r="C87" s="749"/>
      <c r="D87" s="750" t="s">
        <v>1032</v>
      </c>
      <c r="E87" s="751">
        <v>330</v>
      </c>
      <c r="F87" s="751">
        <v>34413</v>
      </c>
      <c r="G87" s="752">
        <v>514</v>
      </c>
      <c r="H87" s="752">
        <v>242</v>
      </c>
      <c r="I87" s="752">
        <v>33155</v>
      </c>
      <c r="J87" s="752">
        <v>0</v>
      </c>
      <c r="K87" s="752"/>
      <c r="L87" s="752"/>
      <c r="M87" s="752">
        <v>0</v>
      </c>
      <c r="N87" s="752">
        <v>502</v>
      </c>
      <c r="O87" s="752"/>
      <c r="P87" s="752"/>
      <c r="Q87" s="752"/>
      <c r="R87" s="749"/>
      <c r="S87" s="753"/>
    </row>
    <row r="88" spans="1:19" ht="12" customHeight="1">
      <c r="A88" s="747" t="s">
        <v>313</v>
      </c>
      <c r="B88" s="748" t="s">
        <v>357</v>
      </c>
      <c r="C88" s="749" t="s">
        <v>359</v>
      </c>
      <c r="D88" s="750" t="s">
        <v>4</v>
      </c>
      <c r="E88" s="751"/>
      <c r="F88" s="751">
        <v>0</v>
      </c>
      <c r="G88" s="752"/>
      <c r="H88" s="752"/>
      <c r="I88" s="752"/>
      <c r="J88" s="752"/>
      <c r="K88" s="752"/>
      <c r="L88" s="752"/>
      <c r="M88" s="752"/>
      <c r="N88" s="752"/>
      <c r="O88" s="752"/>
      <c r="P88" s="752"/>
      <c r="Q88" s="752"/>
      <c r="R88" s="749"/>
      <c r="S88" s="753"/>
    </row>
    <row r="89" spans="1:19" ht="12" customHeight="1">
      <c r="A89" s="747"/>
      <c r="B89" s="748"/>
      <c r="C89" s="749"/>
      <c r="D89" s="750" t="s">
        <v>976</v>
      </c>
      <c r="E89" s="751"/>
      <c r="F89" s="751">
        <v>0</v>
      </c>
      <c r="G89" s="752"/>
      <c r="H89" s="752"/>
      <c r="I89" s="752"/>
      <c r="J89" s="752"/>
      <c r="K89" s="752"/>
      <c r="L89" s="752"/>
      <c r="M89" s="752"/>
      <c r="N89" s="752"/>
      <c r="O89" s="752"/>
      <c r="P89" s="752"/>
      <c r="Q89" s="752"/>
      <c r="R89" s="749"/>
      <c r="S89" s="753"/>
    </row>
    <row r="90" spans="1:19" ht="12" customHeight="1">
      <c r="A90" s="747"/>
      <c r="B90" s="748"/>
      <c r="C90" s="749"/>
      <c r="D90" s="754" t="s">
        <v>1032</v>
      </c>
      <c r="E90" s="751"/>
      <c r="F90" s="751">
        <v>0</v>
      </c>
      <c r="G90" s="755"/>
      <c r="H90" s="755"/>
      <c r="I90" s="755"/>
      <c r="J90" s="755"/>
      <c r="K90" s="755"/>
      <c r="L90" s="755"/>
      <c r="M90" s="755"/>
      <c r="N90" s="755"/>
      <c r="O90" s="755"/>
      <c r="P90" s="755"/>
      <c r="Q90" s="755"/>
      <c r="R90" s="749"/>
      <c r="S90" s="753"/>
    </row>
    <row r="91" spans="1:19" ht="12" customHeight="1">
      <c r="A91" s="747" t="s">
        <v>316</v>
      </c>
      <c r="B91" s="748" t="s">
        <v>360</v>
      </c>
      <c r="C91" s="749" t="s">
        <v>361</v>
      </c>
      <c r="D91" s="750" t="s">
        <v>4</v>
      </c>
      <c r="E91" s="751">
        <v>1300</v>
      </c>
      <c r="F91" s="751">
        <v>0</v>
      </c>
      <c r="G91" s="755"/>
      <c r="H91" s="755"/>
      <c r="I91" s="755"/>
      <c r="J91" s="755"/>
      <c r="K91" s="755"/>
      <c r="L91" s="755"/>
      <c r="M91" s="755"/>
      <c r="N91" s="755"/>
      <c r="O91" s="755"/>
      <c r="P91" s="755"/>
      <c r="Q91" s="755"/>
      <c r="R91" s="749"/>
      <c r="S91" s="753"/>
    </row>
    <row r="92" spans="1:19" ht="12" customHeight="1">
      <c r="A92" s="747"/>
      <c r="B92" s="748"/>
      <c r="C92" s="749"/>
      <c r="D92" s="750" t="s">
        <v>976</v>
      </c>
      <c r="E92" s="751">
        <v>998</v>
      </c>
      <c r="F92" s="751">
        <v>0</v>
      </c>
      <c r="G92" s="755"/>
      <c r="H92" s="755"/>
      <c r="I92" s="755"/>
      <c r="J92" s="755"/>
      <c r="K92" s="755"/>
      <c r="L92" s="755"/>
      <c r="M92" s="755"/>
      <c r="N92" s="755"/>
      <c r="O92" s="755"/>
      <c r="P92" s="755"/>
      <c r="Q92" s="755"/>
      <c r="R92" s="749"/>
      <c r="S92" s="753"/>
    </row>
    <row r="93" spans="1:19" ht="12" customHeight="1">
      <c r="A93" s="747"/>
      <c r="B93" s="748"/>
      <c r="C93" s="749"/>
      <c r="D93" s="750" t="s">
        <v>1032</v>
      </c>
      <c r="E93" s="751">
        <v>998</v>
      </c>
      <c r="F93" s="751">
        <v>0</v>
      </c>
      <c r="G93" s="755"/>
      <c r="H93" s="755"/>
      <c r="I93" s="755"/>
      <c r="J93" s="755"/>
      <c r="K93" s="755"/>
      <c r="L93" s="755"/>
      <c r="M93" s="755"/>
      <c r="N93" s="755"/>
      <c r="O93" s="755"/>
      <c r="P93" s="755"/>
      <c r="Q93" s="755"/>
      <c r="R93" s="749"/>
      <c r="S93" s="753"/>
    </row>
    <row r="94" spans="1:19" ht="12" customHeight="1">
      <c r="A94" s="747" t="s">
        <v>313</v>
      </c>
      <c r="B94" s="748" t="s">
        <v>362</v>
      </c>
      <c r="C94" s="749" t="s">
        <v>363</v>
      </c>
      <c r="D94" s="750" t="s">
        <v>4</v>
      </c>
      <c r="E94" s="751"/>
      <c r="F94" s="751">
        <v>32270</v>
      </c>
      <c r="G94" s="755"/>
      <c r="H94" s="755"/>
      <c r="I94" s="755">
        <v>1270</v>
      </c>
      <c r="J94" s="755"/>
      <c r="K94" s="755"/>
      <c r="L94" s="755"/>
      <c r="M94" s="755"/>
      <c r="N94" s="755">
        <v>31000</v>
      </c>
      <c r="O94" s="755"/>
      <c r="P94" s="755"/>
      <c r="Q94" s="755"/>
      <c r="R94" s="749"/>
      <c r="S94" s="753"/>
    </row>
    <row r="95" spans="1:19" ht="12" customHeight="1">
      <c r="A95" s="747"/>
      <c r="B95" s="748"/>
      <c r="C95" s="749"/>
      <c r="D95" s="750" t="s">
        <v>976</v>
      </c>
      <c r="E95" s="751">
        <v>283</v>
      </c>
      <c r="F95" s="751">
        <v>9270</v>
      </c>
      <c r="G95" s="755"/>
      <c r="H95" s="755"/>
      <c r="I95" s="755">
        <v>2970</v>
      </c>
      <c r="J95" s="755">
        <v>0</v>
      </c>
      <c r="K95" s="755"/>
      <c r="L95" s="755"/>
      <c r="M95" s="755"/>
      <c r="N95" s="755">
        <v>6300</v>
      </c>
      <c r="O95" s="755"/>
      <c r="P95" s="755"/>
      <c r="Q95" s="755"/>
      <c r="R95" s="749"/>
      <c r="S95" s="753"/>
    </row>
    <row r="96" spans="1:19" ht="12" customHeight="1">
      <c r="A96" s="747"/>
      <c r="B96" s="748"/>
      <c r="C96" s="749"/>
      <c r="D96" s="754" t="s">
        <v>1032</v>
      </c>
      <c r="E96" s="751">
        <v>441</v>
      </c>
      <c r="F96" s="751">
        <v>4727</v>
      </c>
      <c r="G96" s="755"/>
      <c r="H96" s="755"/>
      <c r="I96" s="755">
        <v>2456</v>
      </c>
      <c r="J96" s="755">
        <v>0</v>
      </c>
      <c r="K96" s="755"/>
      <c r="L96" s="755"/>
      <c r="M96" s="755"/>
      <c r="N96" s="755">
        <v>2271</v>
      </c>
      <c r="O96" s="755"/>
      <c r="P96" s="755"/>
      <c r="Q96" s="755"/>
      <c r="R96" s="749"/>
      <c r="S96" s="753"/>
    </row>
    <row r="97" spans="1:19" ht="12" customHeight="1">
      <c r="A97" s="747" t="s">
        <v>313</v>
      </c>
      <c r="B97" s="748" t="s">
        <v>364</v>
      </c>
      <c r="C97" s="749" t="s">
        <v>365</v>
      </c>
      <c r="D97" s="750" t="s">
        <v>4</v>
      </c>
      <c r="E97" s="751">
        <v>2582</v>
      </c>
      <c r="F97" s="751">
        <v>133001</v>
      </c>
      <c r="G97" s="755"/>
      <c r="H97" s="755"/>
      <c r="I97" s="755">
        <v>55728</v>
      </c>
      <c r="J97" s="755"/>
      <c r="K97" s="755"/>
      <c r="L97" s="755"/>
      <c r="M97" s="755">
        <v>10453</v>
      </c>
      <c r="N97" s="755">
        <v>66820</v>
      </c>
      <c r="O97" s="755"/>
      <c r="P97" s="755"/>
      <c r="Q97" s="755"/>
      <c r="R97" s="749"/>
      <c r="S97" s="753"/>
    </row>
    <row r="98" spans="1:19" ht="12" customHeight="1">
      <c r="A98" s="747"/>
      <c r="B98" s="748"/>
      <c r="C98" s="749"/>
      <c r="D98" s="750" t="s">
        <v>976</v>
      </c>
      <c r="E98" s="751">
        <v>3038</v>
      </c>
      <c r="F98" s="751">
        <v>141642</v>
      </c>
      <c r="G98" s="755"/>
      <c r="H98" s="755"/>
      <c r="I98" s="755">
        <v>56273</v>
      </c>
      <c r="J98" s="755"/>
      <c r="K98" s="755"/>
      <c r="L98" s="755"/>
      <c r="M98" s="755">
        <v>7395</v>
      </c>
      <c r="N98" s="755">
        <v>77974</v>
      </c>
      <c r="O98" s="755"/>
      <c r="P98" s="755"/>
      <c r="Q98" s="755"/>
      <c r="R98" s="749"/>
      <c r="S98" s="753"/>
    </row>
    <row r="99" spans="1:19" ht="12" customHeight="1">
      <c r="A99" s="747"/>
      <c r="B99" s="748"/>
      <c r="C99" s="749"/>
      <c r="D99" s="750" t="s">
        <v>1032</v>
      </c>
      <c r="E99" s="751">
        <v>3037</v>
      </c>
      <c r="F99" s="751">
        <v>124089</v>
      </c>
      <c r="G99" s="755"/>
      <c r="H99" s="755"/>
      <c r="I99" s="755">
        <v>40084</v>
      </c>
      <c r="J99" s="755"/>
      <c r="K99" s="755"/>
      <c r="L99" s="755"/>
      <c r="M99" s="755">
        <v>6031</v>
      </c>
      <c r="N99" s="755">
        <v>77974</v>
      </c>
      <c r="O99" s="755"/>
      <c r="P99" s="755"/>
      <c r="Q99" s="755"/>
      <c r="R99" s="749"/>
      <c r="S99" s="753"/>
    </row>
    <row r="100" spans="1:19" ht="12" customHeight="1">
      <c r="A100" s="747" t="s">
        <v>313</v>
      </c>
      <c r="B100" s="748" t="s">
        <v>366</v>
      </c>
      <c r="C100" s="749" t="s">
        <v>367</v>
      </c>
      <c r="D100" s="750" t="s">
        <v>4</v>
      </c>
      <c r="E100" s="751"/>
      <c r="F100" s="751">
        <v>99301</v>
      </c>
      <c r="G100" s="755"/>
      <c r="H100" s="755"/>
      <c r="I100" s="755">
        <v>89776</v>
      </c>
      <c r="J100" s="755"/>
      <c r="K100" s="755"/>
      <c r="L100" s="755"/>
      <c r="M100" s="755">
        <v>9525</v>
      </c>
      <c r="N100" s="755"/>
      <c r="O100" s="755"/>
      <c r="P100" s="755"/>
      <c r="Q100" s="755"/>
      <c r="R100" s="749"/>
      <c r="S100" s="753"/>
    </row>
    <row r="101" spans="1:19" ht="12" customHeight="1">
      <c r="A101" s="747"/>
      <c r="B101" s="748"/>
      <c r="C101" s="749"/>
      <c r="D101" s="750" t="s">
        <v>976</v>
      </c>
      <c r="E101" s="751"/>
      <c r="F101" s="751">
        <v>104292</v>
      </c>
      <c r="G101" s="755"/>
      <c r="H101" s="755"/>
      <c r="I101" s="755">
        <v>89736</v>
      </c>
      <c r="J101" s="755">
        <v>0</v>
      </c>
      <c r="K101" s="755"/>
      <c r="L101" s="755"/>
      <c r="M101" s="755">
        <v>14516</v>
      </c>
      <c r="N101" s="755">
        <v>40</v>
      </c>
      <c r="O101" s="755"/>
      <c r="P101" s="755"/>
      <c r="Q101" s="755"/>
      <c r="R101" s="749"/>
      <c r="S101" s="753"/>
    </row>
    <row r="102" spans="1:19" ht="12" customHeight="1">
      <c r="A102" s="747"/>
      <c r="B102" s="748"/>
      <c r="C102" s="749"/>
      <c r="D102" s="754" t="s">
        <v>1032</v>
      </c>
      <c r="E102" s="751"/>
      <c r="F102" s="751">
        <v>95321</v>
      </c>
      <c r="G102" s="752"/>
      <c r="H102" s="752"/>
      <c r="I102" s="752">
        <v>86870</v>
      </c>
      <c r="J102" s="752"/>
      <c r="K102" s="752"/>
      <c r="L102" s="752"/>
      <c r="M102" s="752">
        <v>8411</v>
      </c>
      <c r="N102" s="752">
        <v>40</v>
      </c>
      <c r="O102" s="752"/>
      <c r="P102" s="752"/>
      <c r="Q102" s="752"/>
      <c r="R102" s="749"/>
      <c r="S102" s="753"/>
    </row>
    <row r="103" spans="1:19" ht="12" customHeight="1">
      <c r="A103" s="747" t="s">
        <v>313</v>
      </c>
      <c r="B103" s="748" t="s">
        <v>366</v>
      </c>
      <c r="C103" s="749" t="s">
        <v>368</v>
      </c>
      <c r="D103" s="750" t="s">
        <v>4</v>
      </c>
      <c r="E103" s="751"/>
      <c r="F103" s="751">
        <v>22225</v>
      </c>
      <c r="G103" s="752"/>
      <c r="H103" s="752"/>
      <c r="I103" s="752">
        <v>9525</v>
      </c>
      <c r="J103" s="752"/>
      <c r="K103" s="752"/>
      <c r="L103" s="752"/>
      <c r="M103" s="752">
        <v>12700</v>
      </c>
      <c r="N103" s="752"/>
      <c r="O103" s="752"/>
      <c r="P103" s="752"/>
      <c r="Q103" s="752"/>
      <c r="R103" s="749"/>
      <c r="S103" s="753"/>
    </row>
    <row r="104" spans="1:19" ht="12" customHeight="1">
      <c r="A104" s="747"/>
      <c r="B104" s="748"/>
      <c r="C104" s="749"/>
      <c r="D104" s="750" t="s">
        <v>976</v>
      </c>
      <c r="E104" s="751"/>
      <c r="F104" s="751">
        <v>22744</v>
      </c>
      <c r="G104" s="752"/>
      <c r="H104" s="752"/>
      <c r="I104" s="752">
        <v>19045</v>
      </c>
      <c r="J104" s="752">
        <v>0</v>
      </c>
      <c r="K104" s="752"/>
      <c r="L104" s="752"/>
      <c r="M104" s="752">
        <v>3699</v>
      </c>
      <c r="N104" s="752">
        <v>0</v>
      </c>
      <c r="O104" s="752"/>
      <c r="P104" s="752"/>
      <c r="Q104" s="752"/>
      <c r="R104" s="749"/>
      <c r="S104" s="753"/>
    </row>
    <row r="105" spans="1:19" ht="12" customHeight="1">
      <c r="A105" s="747"/>
      <c r="B105" s="748"/>
      <c r="C105" s="749"/>
      <c r="D105" s="750" t="s">
        <v>1032</v>
      </c>
      <c r="E105" s="751"/>
      <c r="F105" s="751">
        <v>14370</v>
      </c>
      <c r="G105" s="752"/>
      <c r="H105" s="752"/>
      <c r="I105" s="752">
        <v>14370</v>
      </c>
      <c r="J105" s="752"/>
      <c r="K105" s="752"/>
      <c r="L105" s="752"/>
      <c r="M105" s="752">
        <v>0</v>
      </c>
      <c r="N105" s="752"/>
      <c r="O105" s="752"/>
      <c r="P105" s="752"/>
      <c r="Q105" s="752"/>
      <c r="R105" s="749"/>
      <c r="S105" s="753"/>
    </row>
    <row r="106" spans="1:19" ht="12" customHeight="1">
      <c r="A106" s="747" t="s">
        <v>313</v>
      </c>
      <c r="B106" s="748" t="s">
        <v>366</v>
      </c>
      <c r="C106" s="749" t="s">
        <v>369</v>
      </c>
      <c r="D106" s="750" t="s">
        <v>4</v>
      </c>
      <c r="E106" s="751"/>
      <c r="F106" s="751">
        <v>0</v>
      </c>
      <c r="G106" s="752"/>
      <c r="H106" s="752"/>
      <c r="I106" s="752"/>
      <c r="J106" s="752"/>
      <c r="K106" s="752"/>
      <c r="L106" s="752"/>
      <c r="M106" s="752"/>
      <c r="N106" s="752"/>
      <c r="O106" s="752"/>
      <c r="P106" s="752"/>
      <c r="Q106" s="752"/>
      <c r="R106" s="749"/>
      <c r="S106" s="753"/>
    </row>
    <row r="107" spans="1:19" ht="12" customHeight="1">
      <c r="A107" s="747"/>
      <c r="B107" s="748"/>
      <c r="C107" s="749"/>
      <c r="D107" s="750" t="s">
        <v>976</v>
      </c>
      <c r="E107" s="751"/>
      <c r="F107" s="751">
        <v>0</v>
      </c>
      <c r="G107" s="752"/>
      <c r="H107" s="752"/>
      <c r="I107" s="752"/>
      <c r="J107" s="752"/>
      <c r="K107" s="752"/>
      <c r="L107" s="752"/>
      <c r="M107" s="752"/>
      <c r="N107" s="752"/>
      <c r="O107" s="752"/>
      <c r="P107" s="752"/>
      <c r="Q107" s="752"/>
      <c r="R107" s="749"/>
      <c r="S107" s="753"/>
    </row>
    <row r="108" spans="1:19" ht="12" customHeight="1">
      <c r="A108" s="747"/>
      <c r="B108" s="748"/>
      <c r="C108" s="749"/>
      <c r="D108" s="754" t="s">
        <v>1032</v>
      </c>
      <c r="E108" s="751"/>
      <c r="F108" s="751">
        <v>0</v>
      </c>
      <c r="G108" s="752"/>
      <c r="H108" s="752"/>
      <c r="I108" s="752"/>
      <c r="J108" s="752"/>
      <c r="K108" s="752"/>
      <c r="L108" s="752"/>
      <c r="M108" s="752"/>
      <c r="N108" s="752"/>
      <c r="O108" s="752"/>
      <c r="P108" s="752"/>
      <c r="Q108" s="752"/>
      <c r="R108" s="749"/>
      <c r="S108" s="753"/>
    </row>
    <row r="109" spans="1:19" ht="12" customHeight="1">
      <c r="A109" s="747" t="s">
        <v>313</v>
      </c>
      <c r="B109" s="748" t="s">
        <v>370</v>
      </c>
      <c r="C109" s="749" t="s">
        <v>371</v>
      </c>
      <c r="D109" s="750" t="s">
        <v>4</v>
      </c>
      <c r="E109" s="751"/>
      <c r="F109" s="751">
        <v>12891</v>
      </c>
      <c r="G109" s="752"/>
      <c r="H109" s="752"/>
      <c r="I109" s="752">
        <v>12891</v>
      </c>
      <c r="J109" s="752"/>
      <c r="K109" s="752"/>
      <c r="L109" s="752"/>
      <c r="M109" s="752"/>
      <c r="N109" s="752"/>
      <c r="O109" s="752"/>
      <c r="P109" s="752"/>
      <c r="Q109" s="752"/>
      <c r="R109" s="749"/>
      <c r="S109" s="753"/>
    </row>
    <row r="110" spans="1:19" ht="12" customHeight="1">
      <c r="A110" s="747"/>
      <c r="B110" s="748"/>
      <c r="C110" s="749"/>
      <c r="D110" s="750" t="s">
        <v>976</v>
      </c>
      <c r="E110" s="751"/>
      <c r="F110" s="751">
        <v>4349</v>
      </c>
      <c r="G110" s="752"/>
      <c r="H110" s="752"/>
      <c r="I110" s="752">
        <v>4349</v>
      </c>
      <c r="J110" s="752"/>
      <c r="K110" s="752"/>
      <c r="L110" s="752"/>
      <c r="M110" s="752"/>
      <c r="N110" s="752"/>
      <c r="O110" s="752"/>
      <c r="P110" s="752"/>
      <c r="Q110" s="752"/>
      <c r="R110" s="749"/>
      <c r="S110" s="753"/>
    </row>
    <row r="111" spans="1:19" ht="12" customHeight="1">
      <c r="A111" s="747"/>
      <c r="B111" s="748"/>
      <c r="C111" s="749"/>
      <c r="D111" s="750" t="s">
        <v>1032</v>
      </c>
      <c r="E111" s="751">
        <v>45</v>
      </c>
      <c r="F111" s="751">
        <v>4174</v>
      </c>
      <c r="G111" s="752"/>
      <c r="H111" s="752"/>
      <c r="I111" s="752">
        <v>4174</v>
      </c>
      <c r="J111" s="752"/>
      <c r="K111" s="752"/>
      <c r="L111" s="752"/>
      <c r="M111" s="752"/>
      <c r="N111" s="752"/>
      <c r="O111" s="752"/>
      <c r="P111" s="752"/>
      <c r="Q111" s="752"/>
      <c r="R111" s="749"/>
      <c r="S111" s="753"/>
    </row>
    <row r="112" spans="1:19" ht="12" customHeight="1">
      <c r="A112" s="747" t="s">
        <v>313</v>
      </c>
      <c r="B112" s="748" t="s">
        <v>370</v>
      </c>
      <c r="C112" s="749" t="s">
        <v>372</v>
      </c>
      <c r="D112" s="750" t="s">
        <v>4</v>
      </c>
      <c r="E112" s="751"/>
      <c r="F112" s="751">
        <v>30921</v>
      </c>
      <c r="G112" s="752">
        <v>1000</v>
      </c>
      <c r="H112" s="752">
        <v>282</v>
      </c>
      <c r="I112" s="752">
        <v>23639</v>
      </c>
      <c r="J112" s="752"/>
      <c r="K112" s="752"/>
      <c r="L112" s="752"/>
      <c r="M112" s="752"/>
      <c r="N112" s="752"/>
      <c r="O112" s="752">
        <v>6000</v>
      </c>
      <c r="P112" s="752"/>
      <c r="Q112" s="752"/>
      <c r="R112" s="749"/>
      <c r="S112" s="753"/>
    </row>
    <row r="113" spans="1:19" ht="12" customHeight="1">
      <c r="A113" s="747"/>
      <c r="B113" s="748"/>
      <c r="C113" s="749"/>
      <c r="D113" s="750" t="s">
        <v>976</v>
      </c>
      <c r="E113" s="751"/>
      <c r="F113" s="751">
        <v>13268</v>
      </c>
      <c r="G113" s="752">
        <v>600</v>
      </c>
      <c r="H113" s="752">
        <v>162</v>
      </c>
      <c r="I113" s="752">
        <v>9159</v>
      </c>
      <c r="J113" s="752"/>
      <c r="K113" s="752"/>
      <c r="L113" s="752"/>
      <c r="M113" s="752"/>
      <c r="N113" s="752"/>
      <c r="O113" s="752">
        <v>3347</v>
      </c>
      <c r="P113" s="752"/>
      <c r="Q113" s="752"/>
      <c r="R113" s="749"/>
      <c r="S113" s="753"/>
    </row>
    <row r="114" spans="1:19" ht="12" customHeight="1">
      <c r="A114" s="747"/>
      <c r="B114" s="748"/>
      <c r="C114" s="749"/>
      <c r="D114" s="754" t="s">
        <v>1032</v>
      </c>
      <c r="E114" s="751"/>
      <c r="F114" s="751">
        <v>9557</v>
      </c>
      <c r="G114" s="752">
        <v>50</v>
      </c>
      <c r="H114" s="752">
        <v>12</v>
      </c>
      <c r="I114" s="752">
        <v>6148</v>
      </c>
      <c r="J114" s="752"/>
      <c r="K114" s="752"/>
      <c r="L114" s="752"/>
      <c r="M114" s="752"/>
      <c r="N114" s="752"/>
      <c r="O114" s="752">
        <v>3347</v>
      </c>
      <c r="P114" s="752"/>
      <c r="Q114" s="752"/>
      <c r="R114" s="749"/>
      <c r="S114" s="753"/>
    </row>
    <row r="115" spans="1:19" ht="12" customHeight="1">
      <c r="A115" s="747" t="s">
        <v>313</v>
      </c>
      <c r="B115" s="748" t="s">
        <v>370</v>
      </c>
      <c r="C115" s="749" t="s">
        <v>373</v>
      </c>
      <c r="D115" s="750" t="s">
        <v>4</v>
      </c>
      <c r="E115" s="751"/>
      <c r="F115" s="751">
        <v>184362</v>
      </c>
      <c r="G115" s="752"/>
      <c r="H115" s="752"/>
      <c r="I115" s="752">
        <v>16535</v>
      </c>
      <c r="J115" s="752">
        <v>142382</v>
      </c>
      <c r="K115" s="752"/>
      <c r="L115" s="752"/>
      <c r="M115" s="752">
        <v>3445</v>
      </c>
      <c r="N115" s="752">
        <v>22000</v>
      </c>
      <c r="O115" s="752"/>
      <c r="P115" s="752"/>
      <c r="Q115" s="752"/>
      <c r="R115" s="749"/>
      <c r="S115" s="753"/>
    </row>
    <row r="116" spans="1:19" ht="12" customHeight="1">
      <c r="A116" s="747"/>
      <c r="B116" s="748"/>
      <c r="C116" s="749"/>
      <c r="D116" s="750" t="s">
        <v>976</v>
      </c>
      <c r="E116" s="751"/>
      <c r="F116" s="751">
        <v>158375</v>
      </c>
      <c r="G116" s="752"/>
      <c r="H116" s="752"/>
      <c r="I116" s="752">
        <v>14481</v>
      </c>
      <c r="J116" s="752">
        <v>142382</v>
      </c>
      <c r="K116" s="752"/>
      <c r="L116" s="752"/>
      <c r="M116" s="752">
        <v>1118</v>
      </c>
      <c r="N116" s="752">
        <v>394</v>
      </c>
      <c r="O116" s="752"/>
      <c r="P116" s="752"/>
      <c r="Q116" s="752"/>
      <c r="R116" s="749"/>
      <c r="S116" s="753"/>
    </row>
    <row r="117" spans="1:19" ht="12" customHeight="1">
      <c r="A117" s="747"/>
      <c r="B117" s="748"/>
      <c r="C117" s="749"/>
      <c r="D117" s="750" t="s">
        <v>1032</v>
      </c>
      <c r="E117" s="751"/>
      <c r="F117" s="751">
        <v>157159</v>
      </c>
      <c r="G117" s="752"/>
      <c r="H117" s="752"/>
      <c r="I117" s="752">
        <v>13710</v>
      </c>
      <c r="J117" s="752">
        <v>142382</v>
      </c>
      <c r="K117" s="752"/>
      <c r="L117" s="752"/>
      <c r="M117" s="752">
        <v>673</v>
      </c>
      <c r="N117" s="752">
        <v>394</v>
      </c>
      <c r="O117" s="752"/>
      <c r="P117" s="752"/>
      <c r="Q117" s="752"/>
      <c r="R117" s="749"/>
      <c r="S117" s="753"/>
    </row>
    <row r="118" spans="1:19" ht="12" customHeight="1">
      <c r="A118" s="747" t="s">
        <v>316</v>
      </c>
      <c r="B118" s="748" t="s">
        <v>374</v>
      </c>
      <c r="C118" s="749" t="s">
        <v>247</v>
      </c>
      <c r="D118" s="750" t="s">
        <v>4</v>
      </c>
      <c r="E118" s="751"/>
      <c r="F118" s="751">
        <v>0</v>
      </c>
      <c r="G118" s="752"/>
      <c r="H118" s="752"/>
      <c r="I118" s="752"/>
      <c r="J118" s="752"/>
      <c r="K118" s="752"/>
      <c r="L118" s="752"/>
      <c r="M118" s="752"/>
      <c r="N118" s="752"/>
      <c r="O118" s="752"/>
      <c r="P118" s="752"/>
      <c r="Q118" s="752"/>
      <c r="R118" s="749"/>
      <c r="S118" s="753"/>
    </row>
    <row r="119" spans="1:19" ht="12" customHeight="1">
      <c r="A119" s="747"/>
      <c r="B119" s="748"/>
      <c r="C119" s="749"/>
      <c r="D119" s="750" t="s">
        <v>976</v>
      </c>
      <c r="E119" s="751"/>
      <c r="F119" s="751">
        <v>0</v>
      </c>
      <c r="G119" s="752"/>
      <c r="H119" s="752"/>
      <c r="I119" s="752"/>
      <c r="J119" s="752"/>
      <c r="K119" s="752"/>
      <c r="L119" s="752"/>
      <c r="M119" s="752"/>
      <c r="N119" s="752"/>
      <c r="O119" s="752"/>
      <c r="P119" s="752"/>
      <c r="Q119" s="752"/>
      <c r="R119" s="749"/>
      <c r="S119" s="753"/>
    </row>
    <row r="120" spans="1:19" ht="12" customHeight="1">
      <c r="A120" s="747"/>
      <c r="B120" s="748"/>
      <c r="C120" s="749"/>
      <c r="D120" s="754" t="s">
        <v>1032</v>
      </c>
      <c r="E120" s="751"/>
      <c r="F120" s="751">
        <v>0</v>
      </c>
      <c r="G120" s="752"/>
      <c r="H120" s="752"/>
      <c r="I120" s="752"/>
      <c r="J120" s="752"/>
      <c r="K120" s="752"/>
      <c r="L120" s="752"/>
      <c r="M120" s="752"/>
      <c r="N120" s="752"/>
      <c r="O120" s="752"/>
      <c r="P120" s="752"/>
      <c r="Q120" s="752"/>
      <c r="R120" s="749"/>
      <c r="S120" s="753"/>
    </row>
    <row r="121" spans="1:19" ht="12" customHeight="1">
      <c r="A121" s="747" t="s">
        <v>316</v>
      </c>
      <c r="B121" s="748" t="s">
        <v>375</v>
      </c>
      <c r="C121" s="749" t="s">
        <v>376</v>
      </c>
      <c r="D121" s="750" t="s">
        <v>4</v>
      </c>
      <c r="E121" s="751">
        <v>215</v>
      </c>
      <c r="F121" s="751">
        <v>11129</v>
      </c>
      <c r="G121" s="752">
        <v>5500</v>
      </c>
      <c r="H121" s="752">
        <v>2814</v>
      </c>
      <c r="I121" s="752">
        <v>2815</v>
      </c>
      <c r="J121" s="752"/>
      <c r="K121" s="752"/>
      <c r="L121" s="752"/>
      <c r="M121" s="752"/>
      <c r="N121" s="752"/>
      <c r="O121" s="752"/>
      <c r="P121" s="752"/>
      <c r="Q121" s="752"/>
      <c r="R121" s="749"/>
      <c r="S121" s="753"/>
    </row>
    <row r="122" spans="1:19" ht="12" customHeight="1">
      <c r="A122" s="747"/>
      <c r="B122" s="748"/>
      <c r="C122" s="749"/>
      <c r="D122" s="750" t="s">
        <v>976</v>
      </c>
      <c r="E122" s="751">
        <v>3215</v>
      </c>
      <c r="F122" s="751">
        <v>15496</v>
      </c>
      <c r="G122" s="752">
        <v>7528</v>
      </c>
      <c r="H122" s="752">
        <v>1584</v>
      </c>
      <c r="I122" s="752">
        <v>6384</v>
      </c>
      <c r="J122" s="752"/>
      <c r="K122" s="752"/>
      <c r="L122" s="752"/>
      <c r="M122" s="752"/>
      <c r="N122" s="752"/>
      <c r="O122" s="752"/>
      <c r="P122" s="752"/>
      <c r="Q122" s="752"/>
      <c r="R122" s="749"/>
      <c r="S122" s="753"/>
    </row>
    <row r="123" spans="1:19" ht="12" customHeight="1">
      <c r="A123" s="747"/>
      <c r="B123" s="748"/>
      <c r="C123" s="749"/>
      <c r="D123" s="750" t="s">
        <v>1032</v>
      </c>
      <c r="E123" s="751">
        <v>3233</v>
      </c>
      <c r="F123" s="751">
        <v>13620</v>
      </c>
      <c r="G123" s="752">
        <v>5490</v>
      </c>
      <c r="H123" s="752">
        <v>1563</v>
      </c>
      <c r="I123" s="752">
        <v>6567</v>
      </c>
      <c r="J123" s="752"/>
      <c r="K123" s="752"/>
      <c r="L123" s="752"/>
      <c r="M123" s="752"/>
      <c r="N123" s="752"/>
      <c r="O123" s="752"/>
      <c r="P123" s="752"/>
      <c r="Q123" s="752"/>
      <c r="R123" s="749"/>
      <c r="S123" s="753"/>
    </row>
    <row r="124" spans="1:19" ht="12" customHeight="1">
      <c r="A124" s="747" t="s">
        <v>316</v>
      </c>
      <c r="B124" s="748" t="s">
        <v>377</v>
      </c>
      <c r="C124" s="749" t="s">
        <v>378</v>
      </c>
      <c r="D124" s="750" t="s">
        <v>4</v>
      </c>
      <c r="E124" s="751"/>
      <c r="F124" s="751">
        <v>1651</v>
      </c>
      <c r="G124" s="752"/>
      <c r="H124" s="752"/>
      <c r="I124" s="752">
        <v>1651</v>
      </c>
      <c r="J124" s="752"/>
      <c r="K124" s="752"/>
      <c r="L124" s="752"/>
      <c r="M124" s="752"/>
      <c r="N124" s="752"/>
      <c r="O124" s="752"/>
      <c r="P124" s="752"/>
      <c r="Q124" s="752"/>
      <c r="R124" s="749"/>
      <c r="S124" s="753"/>
    </row>
    <row r="125" spans="1:19" ht="12" customHeight="1">
      <c r="A125" s="747"/>
      <c r="B125" s="748"/>
      <c r="C125" s="749"/>
      <c r="D125" s="750" t="s">
        <v>976</v>
      </c>
      <c r="E125" s="751"/>
      <c r="F125" s="751">
        <v>1651</v>
      </c>
      <c r="G125" s="752"/>
      <c r="H125" s="752"/>
      <c r="I125" s="752">
        <v>1651</v>
      </c>
      <c r="J125" s="752">
        <v>0</v>
      </c>
      <c r="K125" s="752"/>
      <c r="L125" s="752"/>
      <c r="M125" s="752"/>
      <c r="N125" s="752"/>
      <c r="O125" s="752"/>
      <c r="P125" s="752"/>
      <c r="Q125" s="752"/>
      <c r="R125" s="749"/>
      <c r="S125" s="753"/>
    </row>
    <row r="126" spans="1:19" ht="12" customHeight="1">
      <c r="A126" s="747"/>
      <c r="B126" s="748"/>
      <c r="C126" s="749"/>
      <c r="D126" s="754" t="s">
        <v>1032</v>
      </c>
      <c r="E126" s="751"/>
      <c r="F126" s="751">
        <v>1077</v>
      </c>
      <c r="G126" s="752"/>
      <c r="H126" s="752"/>
      <c r="I126" s="752">
        <v>1077</v>
      </c>
      <c r="J126" s="752"/>
      <c r="K126" s="752"/>
      <c r="L126" s="752"/>
      <c r="M126" s="752"/>
      <c r="N126" s="752"/>
      <c r="O126" s="752"/>
      <c r="P126" s="752"/>
      <c r="Q126" s="752"/>
      <c r="R126" s="749"/>
      <c r="S126" s="753"/>
    </row>
    <row r="127" spans="1:19" ht="12" customHeight="1">
      <c r="A127" s="747" t="s">
        <v>313</v>
      </c>
      <c r="B127" s="748" t="s">
        <v>379</v>
      </c>
      <c r="C127" s="749" t="s">
        <v>380</v>
      </c>
      <c r="D127" s="750" t="s">
        <v>4</v>
      </c>
      <c r="E127" s="751"/>
      <c r="F127" s="751">
        <v>115170</v>
      </c>
      <c r="G127" s="752"/>
      <c r="H127" s="752"/>
      <c r="I127" s="752">
        <v>1425</v>
      </c>
      <c r="J127" s="752">
        <v>113745</v>
      </c>
      <c r="K127" s="752"/>
      <c r="L127" s="752"/>
      <c r="M127" s="752"/>
      <c r="N127" s="752"/>
      <c r="O127" s="752"/>
      <c r="P127" s="752"/>
      <c r="Q127" s="752"/>
      <c r="R127" s="749"/>
      <c r="S127" s="753"/>
    </row>
    <row r="128" spans="1:19" ht="12" customHeight="1">
      <c r="A128" s="747"/>
      <c r="B128" s="748"/>
      <c r="C128" s="749"/>
      <c r="D128" s="750" t="s">
        <v>976</v>
      </c>
      <c r="E128" s="751">
        <v>69</v>
      </c>
      <c r="F128" s="751">
        <v>146131</v>
      </c>
      <c r="G128" s="752">
        <v>1591</v>
      </c>
      <c r="H128" s="752">
        <v>840</v>
      </c>
      <c r="I128" s="752">
        <v>2573</v>
      </c>
      <c r="J128" s="752">
        <v>136582</v>
      </c>
      <c r="K128" s="752"/>
      <c r="L128" s="752"/>
      <c r="M128" s="752"/>
      <c r="N128" s="752">
        <v>1351</v>
      </c>
      <c r="O128" s="752">
        <v>3194</v>
      </c>
      <c r="P128" s="752"/>
      <c r="Q128" s="752"/>
      <c r="R128" s="749"/>
      <c r="S128" s="753"/>
    </row>
    <row r="129" spans="1:19" ht="12" customHeight="1">
      <c r="A129" s="747"/>
      <c r="B129" s="748"/>
      <c r="C129" s="749"/>
      <c r="D129" s="750" t="s">
        <v>1032</v>
      </c>
      <c r="E129" s="751">
        <v>69</v>
      </c>
      <c r="F129" s="751">
        <v>135524</v>
      </c>
      <c r="G129" s="752">
        <v>1641</v>
      </c>
      <c r="H129" s="752">
        <v>822</v>
      </c>
      <c r="I129" s="752">
        <v>1514</v>
      </c>
      <c r="J129" s="752">
        <v>130195</v>
      </c>
      <c r="K129" s="752"/>
      <c r="L129" s="752"/>
      <c r="M129" s="752"/>
      <c r="N129" s="752">
        <v>1352</v>
      </c>
      <c r="O129" s="752">
        <v>0</v>
      </c>
      <c r="P129" s="752"/>
      <c r="Q129" s="752"/>
      <c r="R129" s="749"/>
      <c r="S129" s="753"/>
    </row>
    <row r="130" spans="1:19" ht="12" customHeight="1">
      <c r="A130" s="747" t="s">
        <v>316</v>
      </c>
      <c r="B130" s="748" t="s">
        <v>381</v>
      </c>
      <c r="C130" s="749" t="s">
        <v>382</v>
      </c>
      <c r="D130" s="750" t="s">
        <v>4</v>
      </c>
      <c r="E130" s="751"/>
      <c r="F130" s="751">
        <v>1800</v>
      </c>
      <c r="G130" s="752"/>
      <c r="H130" s="752"/>
      <c r="I130" s="752">
        <v>1800</v>
      </c>
      <c r="J130" s="752"/>
      <c r="K130" s="752"/>
      <c r="L130" s="752"/>
      <c r="M130" s="752"/>
      <c r="N130" s="752"/>
      <c r="O130" s="752"/>
      <c r="P130" s="752"/>
      <c r="Q130" s="752"/>
      <c r="R130" s="749"/>
      <c r="S130" s="753"/>
    </row>
    <row r="131" spans="1:19" ht="12" customHeight="1">
      <c r="A131" s="747"/>
      <c r="B131" s="748"/>
      <c r="C131" s="749"/>
      <c r="D131" s="750" t="s">
        <v>976</v>
      </c>
      <c r="E131" s="751">
        <v>116</v>
      </c>
      <c r="F131" s="751">
        <v>1916</v>
      </c>
      <c r="G131" s="752"/>
      <c r="H131" s="752"/>
      <c r="I131" s="752">
        <v>1916</v>
      </c>
      <c r="J131" s="752"/>
      <c r="K131" s="752"/>
      <c r="L131" s="752"/>
      <c r="M131" s="752"/>
      <c r="N131" s="752"/>
      <c r="O131" s="752"/>
      <c r="P131" s="752"/>
      <c r="Q131" s="752"/>
      <c r="R131" s="749"/>
      <c r="S131" s="753"/>
    </row>
    <row r="132" spans="1:19" ht="12" customHeight="1">
      <c r="A132" s="747"/>
      <c r="B132" s="748"/>
      <c r="C132" s="749"/>
      <c r="D132" s="754" t="s">
        <v>1032</v>
      </c>
      <c r="E132" s="751">
        <v>157</v>
      </c>
      <c r="F132" s="751">
        <v>9</v>
      </c>
      <c r="G132" s="752"/>
      <c r="H132" s="752"/>
      <c r="I132" s="752">
        <v>9</v>
      </c>
      <c r="J132" s="752"/>
      <c r="K132" s="752"/>
      <c r="L132" s="752"/>
      <c r="M132" s="752"/>
      <c r="N132" s="752"/>
      <c r="O132" s="752"/>
      <c r="P132" s="752"/>
      <c r="Q132" s="752"/>
      <c r="R132" s="749"/>
      <c r="S132" s="753"/>
    </row>
    <row r="133" spans="1:19" ht="12" customHeight="1">
      <c r="A133" s="747" t="s">
        <v>316</v>
      </c>
      <c r="B133" s="748" t="s">
        <v>383</v>
      </c>
      <c r="C133" s="749" t="s">
        <v>384</v>
      </c>
      <c r="D133" s="750" t="s">
        <v>4</v>
      </c>
      <c r="E133" s="751"/>
      <c r="F133" s="751">
        <v>25825</v>
      </c>
      <c r="G133" s="752">
        <v>3360</v>
      </c>
      <c r="H133" s="752">
        <v>907</v>
      </c>
      <c r="I133" s="752">
        <v>21558</v>
      </c>
      <c r="J133" s="752"/>
      <c r="K133" s="752"/>
      <c r="L133" s="752"/>
      <c r="M133" s="752"/>
      <c r="N133" s="752"/>
      <c r="O133" s="752"/>
      <c r="P133" s="752"/>
      <c r="Q133" s="752"/>
      <c r="R133" s="749"/>
      <c r="S133" s="753"/>
    </row>
    <row r="134" spans="1:19" ht="12" customHeight="1">
      <c r="A134" s="747"/>
      <c r="B134" s="748"/>
      <c r="C134" s="749"/>
      <c r="D134" s="750" t="s">
        <v>976</v>
      </c>
      <c r="E134" s="751"/>
      <c r="F134" s="751">
        <v>23290</v>
      </c>
      <c r="G134" s="752">
        <v>3510</v>
      </c>
      <c r="H134" s="752">
        <v>907</v>
      </c>
      <c r="I134" s="752">
        <v>18873</v>
      </c>
      <c r="J134" s="752"/>
      <c r="K134" s="752"/>
      <c r="L134" s="752"/>
      <c r="M134" s="752"/>
      <c r="N134" s="752"/>
      <c r="O134" s="752"/>
      <c r="P134" s="752"/>
      <c r="Q134" s="752"/>
      <c r="R134" s="749"/>
      <c r="S134" s="753"/>
    </row>
    <row r="135" spans="1:19" ht="12" customHeight="1">
      <c r="A135" s="747"/>
      <c r="B135" s="748"/>
      <c r="C135" s="749"/>
      <c r="D135" s="750" t="s">
        <v>1032</v>
      </c>
      <c r="E135" s="751">
        <v>6</v>
      </c>
      <c r="F135" s="751">
        <v>21305</v>
      </c>
      <c r="G135" s="752">
        <v>3502</v>
      </c>
      <c r="H135" s="752">
        <v>754</v>
      </c>
      <c r="I135" s="752">
        <v>17049</v>
      </c>
      <c r="J135" s="752"/>
      <c r="K135" s="752"/>
      <c r="L135" s="752"/>
      <c r="M135" s="752"/>
      <c r="N135" s="752"/>
      <c r="O135" s="752"/>
      <c r="P135" s="752"/>
      <c r="Q135" s="752"/>
      <c r="R135" s="749"/>
      <c r="S135" s="753"/>
    </row>
    <row r="136" spans="1:19" ht="12" customHeight="1">
      <c r="A136" s="747" t="s">
        <v>316</v>
      </c>
      <c r="B136" s="748" t="s">
        <v>385</v>
      </c>
      <c r="C136" s="749" t="s">
        <v>386</v>
      </c>
      <c r="D136" s="750" t="s">
        <v>4</v>
      </c>
      <c r="E136" s="751">
        <v>24720</v>
      </c>
      <c r="F136" s="751">
        <v>248778</v>
      </c>
      <c r="G136" s="752"/>
      <c r="H136" s="752"/>
      <c r="I136" s="752"/>
      <c r="J136" s="752">
        <v>200930</v>
      </c>
      <c r="K136" s="752"/>
      <c r="L136" s="752"/>
      <c r="M136" s="752"/>
      <c r="N136" s="752"/>
      <c r="O136" s="752">
        <v>24128</v>
      </c>
      <c r="P136" s="752"/>
      <c r="Q136" s="752">
        <v>23720</v>
      </c>
      <c r="R136" s="749"/>
      <c r="S136" s="753"/>
    </row>
    <row r="137" spans="1:19" ht="12" customHeight="1">
      <c r="A137" s="747"/>
      <c r="B137" s="748"/>
      <c r="C137" s="749"/>
      <c r="D137" s="750" t="s">
        <v>976</v>
      </c>
      <c r="E137" s="751">
        <v>16036</v>
      </c>
      <c r="F137" s="751">
        <v>266217</v>
      </c>
      <c r="G137" s="752">
        <v>385</v>
      </c>
      <c r="H137" s="752">
        <v>146</v>
      </c>
      <c r="I137" s="752">
        <v>50</v>
      </c>
      <c r="J137" s="752">
        <v>218250</v>
      </c>
      <c r="K137" s="752"/>
      <c r="L137" s="752"/>
      <c r="M137" s="752"/>
      <c r="N137" s="752"/>
      <c r="O137" s="752">
        <v>47386</v>
      </c>
      <c r="P137" s="752"/>
      <c r="Q137" s="752"/>
      <c r="R137" s="749"/>
      <c r="S137" s="753"/>
    </row>
    <row r="138" spans="1:19" ht="12" customHeight="1">
      <c r="A138" s="747"/>
      <c r="B138" s="748"/>
      <c r="C138" s="749"/>
      <c r="D138" s="754" t="s">
        <v>1032</v>
      </c>
      <c r="E138" s="751">
        <v>16063</v>
      </c>
      <c r="F138" s="751">
        <v>252227</v>
      </c>
      <c r="G138" s="752">
        <v>436</v>
      </c>
      <c r="H138" s="752">
        <v>0</v>
      </c>
      <c r="I138" s="752">
        <v>50</v>
      </c>
      <c r="J138" s="752">
        <v>217055</v>
      </c>
      <c r="K138" s="751"/>
      <c r="L138" s="751"/>
      <c r="M138" s="751"/>
      <c r="N138" s="752"/>
      <c r="O138" s="752">
        <v>34686</v>
      </c>
      <c r="P138" s="752"/>
      <c r="Q138" s="752">
        <v>0</v>
      </c>
      <c r="R138" s="749"/>
      <c r="S138" s="753"/>
    </row>
    <row r="139" spans="1:19" ht="12" customHeight="1">
      <c r="A139" s="747" t="s">
        <v>313</v>
      </c>
      <c r="B139" s="748" t="s">
        <v>387</v>
      </c>
      <c r="C139" s="749" t="s">
        <v>769</v>
      </c>
      <c r="D139" s="750" t="s">
        <v>4</v>
      </c>
      <c r="E139" s="751"/>
      <c r="F139" s="751">
        <v>2400</v>
      </c>
      <c r="G139" s="752"/>
      <c r="H139" s="752"/>
      <c r="I139" s="752"/>
      <c r="J139" s="752">
        <v>2400</v>
      </c>
      <c r="K139" s="751"/>
      <c r="L139" s="751"/>
      <c r="M139" s="751"/>
      <c r="N139" s="752"/>
      <c r="O139" s="752"/>
      <c r="P139" s="752"/>
      <c r="Q139" s="752"/>
      <c r="R139" s="749"/>
      <c r="S139" s="753"/>
    </row>
    <row r="140" spans="1:19" ht="12" customHeight="1">
      <c r="A140" s="747"/>
      <c r="B140" s="748"/>
      <c r="C140" s="749"/>
      <c r="D140" s="750" t="s">
        <v>976</v>
      </c>
      <c r="E140" s="751"/>
      <c r="F140" s="751">
        <v>2400</v>
      </c>
      <c r="G140" s="752"/>
      <c r="H140" s="752"/>
      <c r="I140" s="752"/>
      <c r="J140" s="752">
        <v>2400</v>
      </c>
      <c r="K140" s="751"/>
      <c r="L140" s="751"/>
      <c r="M140" s="751"/>
      <c r="N140" s="752"/>
      <c r="O140" s="752"/>
      <c r="P140" s="752"/>
      <c r="Q140" s="752"/>
      <c r="R140" s="749"/>
      <c r="S140" s="753"/>
    </row>
    <row r="141" spans="1:19" ht="12" customHeight="1">
      <c r="A141" s="747"/>
      <c r="B141" s="748"/>
      <c r="C141" s="749"/>
      <c r="D141" s="750" t="s">
        <v>1032</v>
      </c>
      <c r="E141" s="751"/>
      <c r="F141" s="751">
        <v>2373</v>
      </c>
      <c r="G141" s="752"/>
      <c r="H141" s="752"/>
      <c r="I141" s="752"/>
      <c r="J141" s="752">
        <v>2373</v>
      </c>
      <c r="K141" s="751"/>
      <c r="L141" s="751"/>
      <c r="M141" s="751"/>
      <c r="N141" s="752"/>
      <c r="O141" s="752"/>
      <c r="P141" s="752"/>
      <c r="Q141" s="752"/>
      <c r="R141" s="749"/>
      <c r="S141" s="753"/>
    </row>
    <row r="142" spans="1:19" ht="12" customHeight="1">
      <c r="A142" s="747" t="s">
        <v>316</v>
      </c>
      <c r="B142" s="748" t="s">
        <v>388</v>
      </c>
      <c r="C142" s="749" t="s">
        <v>770</v>
      </c>
      <c r="D142" s="750" t="s">
        <v>4</v>
      </c>
      <c r="E142" s="751">
        <v>1815</v>
      </c>
      <c r="F142" s="751">
        <v>20298</v>
      </c>
      <c r="G142" s="752">
        <v>3895</v>
      </c>
      <c r="H142" s="752">
        <v>1993</v>
      </c>
      <c r="I142" s="752">
        <v>5310</v>
      </c>
      <c r="J142" s="752">
        <v>5100</v>
      </c>
      <c r="K142" s="751">
        <v>4000</v>
      </c>
      <c r="L142" s="751"/>
      <c r="M142" s="751"/>
      <c r="N142" s="752"/>
      <c r="O142" s="752"/>
      <c r="P142" s="752"/>
      <c r="Q142" s="752"/>
      <c r="R142" s="749"/>
      <c r="S142" s="753"/>
    </row>
    <row r="143" spans="1:19" ht="12" customHeight="1">
      <c r="A143" s="747"/>
      <c r="B143" s="748"/>
      <c r="C143" s="749"/>
      <c r="D143" s="750" t="s">
        <v>976</v>
      </c>
      <c r="E143" s="751">
        <v>1130</v>
      </c>
      <c r="F143" s="751">
        <v>19934</v>
      </c>
      <c r="G143" s="752">
        <v>4244</v>
      </c>
      <c r="H143" s="752">
        <v>1993</v>
      </c>
      <c r="I143" s="752">
        <v>5197</v>
      </c>
      <c r="J143" s="752">
        <v>4500</v>
      </c>
      <c r="K143" s="751">
        <v>4000</v>
      </c>
      <c r="L143" s="751"/>
      <c r="M143" s="751"/>
      <c r="N143" s="752"/>
      <c r="O143" s="752"/>
      <c r="P143" s="752"/>
      <c r="Q143" s="752"/>
      <c r="R143" s="749"/>
      <c r="S143" s="753"/>
    </row>
    <row r="144" spans="1:19" ht="12" customHeight="1">
      <c r="A144" s="747"/>
      <c r="B144" s="748"/>
      <c r="C144" s="749"/>
      <c r="D144" s="754" t="s">
        <v>1032</v>
      </c>
      <c r="E144" s="751">
        <v>156</v>
      </c>
      <c r="F144" s="751">
        <v>10667</v>
      </c>
      <c r="G144" s="752">
        <v>2851</v>
      </c>
      <c r="H144" s="752">
        <v>1160</v>
      </c>
      <c r="I144" s="752">
        <v>3981</v>
      </c>
      <c r="J144" s="752">
        <v>2675</v>
      </c>
      <c r="K144" s="752">
        <v>0</v>
      </c>
      <c r="L144" s="752"/>
      <c r="M144" s="752"/>
      <c r="N144" s="752"/>
      <c r="O144" s="752"/>
      <c r="P144" s="752"/>
      <c r="Q144" s="752"/>
      <c r="R144" s="749"/>
      <c r="S144" s="753"/>
    </row>
    <row r="145" spans="1:19" ht="12" customHeight="1">
      <c r="A145" s="747" t="s">
        <v>316</v>
      </c>
      <c r="B145" s="748" t="s">
        <v>389</v>
      </c>
      <c r="C145" s="749" t="s">
        <v>390</v>
      </c>
      <c r="D145" s="750" t="s">
        <v>4</v>
      </c>
      <c r="E145" s="751"/>
      <c r="F145" s="751">
        <v>27000</v>
      </c>
      <c r="G145" s="752">
        <v>9000</v>
      </c>
      <c r="H145" s="752">
        <v>5000</v>
      </c>
      <c r="I145" s="752">
        <v>13000</v>
      </c>
      <c r="J145" s="752"/>
      <c r="K145" s="752"/>
      <c r="L145" s="752"/>
      <c r="M145" s="752"/>
      <c r="N145" s="752"/>
      <c r="O145" s="752"/>
      <c r="P145" s="752"/>
      <c r="Q145" s="752"/>
      <c r="R145" s="749"/>
      <c r="S145" s="753"/>
    </row>
    <row r="146" spans="1:19" ht="12" customHeight="1">
      <c r="A146" s="747"/>
      <c r="B146" s="748"/>
      <c r="C146" s="749"/>
      <c r="D146" s="750" t="s">
        <v>976</v>
      </c>
      <c r="E146" s="751">
        <v>3861</v>
      </c>
      <c r="F146" s="751">
        <v>37087</v>
      </c>
      <c r="G146" s="752">
        <v>17424</v>
      </c>
      <c r="H146" s="752">
        <v>6590</v>
      </c>
      <c r="I146" s="752">
        <v>12149</v>
      </c>
      <c r="J146" s="752">
        <v>870</v>
      </c>
      <c r="K146" s="752"/>
      <c r="L146" s="752"/>
      <c r="M146" s="752"/>
      <c r="N146" s="752">
        <v>54</v>
      </c>
      <c r="O146" s="752"/>
      <c r="P146" s="752"/>
      <c r="Q146" s="752"/>
      <c r="R146" s="749"/>
      <c r="S146" s="753"/>
    </row>
    <row r="147" spans="1:19" ht="12" customHeight="1">
      <c r="A147" s="747"/>
      <c r="B147" s="748"/>
      <c r="C147" s="749"/>
      <c r="D147" s="750" t="s">
        <v>1032</v>
      </c>
      <c r="E147" s="751">
        <v>3860</v>
      </c>
      <c r="F147" s="751">
        <v>36719</v>
      </c>
      <c r="G147" s="752">
        <v>17094</v>
      </c>
      <c r="H147" s="752">
        <v>6588</v>
      </c>
      <c r="I147" s="752">
        <v>12113</v>
      </c>
      <c r="J147" s="752">
        <v>870</v>
      </c>
      <c r="K147" s="752"/>
      <c r="L147" s="752"/>
      <c r="M147" s="752"/>
      <c r="N147" s="752">
        <v>54</v>
      </c>
      <c r="O147" s="752"/>
      <c r="P147" s="752"/>
      <c r="Q147" s="752"/>
      <c r="R147" s="749"/>
      <c r="S147" s="753"/>
    </row>
    <row r="148" spans="1:19" ht="12" customHeight="1">
      <c r="A148" s="747" t="s">
        <v>316</v>
      </c>
      <c r="B148" s="748" t="s">
        <v>389</v>
      </c>
      <c r="C148" s="749" t="s">
        <v>391</v>
      </c>
      <c r="D148" s="750" t="s">
        <v>4</v>
      </c>
      <c r="E148" s="751"/>
      <c r="F148" s="751">
        <v>0</v>
      </c>
      <c r="G148" s="752"/>
      <c r="H148" s="752"/>
      <c r="I148" s="752"/>
      <c r="J148" s="752"/>
      <c r="K148" s="752"/>
      <c r="L148" s="752"/>
      <c r="M148" s="752"/>
      <c r="N148" s="752"/>
      <c r="O148" s="752"/>
      <c r="P148" s="752"/>
      <c r="Q148" s="752"/>
      <c r="R148" s="749"/>
      <c r="S148" s="753"/>
    </row>
    <row r="149" spans="1:19" ht="12" customHeight="1">
      <c r="A149" s="747"/>
      <c r="B149" s="748"/>
      <c r="C149" s="749"/>
      <c r="D149" s="750" t="s">
        <v>976</v>
      </c>
      <c r="E149" s="751"/>
      <c r="F149" s="751">
        <v>0</v>
      </c>
      <c r="G149" s="752"/>
      <c r="H149" s="752"/>
      <c r="I149" s="752"/>
      <c r="J149" s="752"/>
      <c r="K149" s="752"/>
      <c r="L149" s="752"/>
      <c r="M149" s="752"/>
      <c r="N149" s="752"/>
      <c r="O149" s="752"/>
      <c r="P149" s="752"/>
      <c r="Q149" s="752"/>
      <c r="R149" s="749"/>
      <c r="S149" s="753"/>
    </row>
    <row r="150" spans="1:19" ht="12" customHeight="1">
      <c r="A150" s="747"/>
      <c r="B150" s="748"/>
      <c r="C150" s="749"/>
      <c r="D150" s="754" t="s">
        <v>1032</v>
      </c>
      <c r="E150" s="751"/>
      <c r="F150" s="751">
        <v>0</v>
      </c>
      <c r="G150" s="752"/>
      <c r="H150" s="752"/>
      <c r="I150" s="752"/>
      <c r="J150" s="752"/>
      <c r="K150" s="752"/>
      <c r="L150" s="752"/>
      <c r="M150" s="752"/>
      <c r="N150" s="752"/>
      <c r="O150" s="752"/>
      <c r="P150" s="752"/>
      <c r="Q150" s="752"/>
      <c r="R150" s="749"/>
      <c r="S150" s="753"/>
    </row>
    <row r="151" spans="1:19" ht="12" customHeight="1">
      <c r="A151" s="747" t="s">
        <v>316</v>
      </c>
      <c r="B151" s="748" t="s">
        <v>389</v>
      </c>
      <c r="C151" s="749" t="s">
        <v>392</v>
      </c>
      <c r="D151" s="750" t="s">
        <v>4</v>
      </c>
      <c r="E151" s="751"/>
      <c r="F151" s="751">
        <v>0</v>
      </c>
      <c r="G151" s="752"/>
      <c r="H151" s="752"/>
      <c r="I151" s="752"/>
      <c r="J151" s="752"/>
      <c r="K151" s="752"/>
      <c r="L151" s="752"/>
      <c r="M151" s="752"/>
      <c r="N151" s="752"/>
      <c r="O151" s="752"/>
      <c r="P151" s="752"/>
      <c r="Q151" s="752"/>
      <c r="R151" s="749"/>
      <c r="S151" s="753"/>
    </row>
    <row r="152" spans="1:19" ht="12" customHeight="1">
      <c r="A152" s="747"/>
      <c r="B152" s="748"/>
      <c r="C152" s="749"/>
      <c r="D152" s="750" t="s">
        <v>976</v>
      </c>
      <c r="E152" s="751"/>
      <c r="F152" s="751">
        <v>0</v>
      </c>
      <c r="G152" s="752"/>
      <c r="H152" s="752"/>
      <c r="I152" s="752"/>
      <c r="J152" s="752"/>
      <c r="K152" s="752"/>
      <c r="L152" s="752"/>
      <c r="M152" s="752"/>
      <c r="N152" s="752"/>
      <c r="O152" s="752"/>
      <c r="P152" s="752"/>
      <c r="Q152" s="752"/>
      <c r="R152" s="749"/>
      <c r="S152" s="753"/>
    </row>
    <row r="153" spans="1:19" ht="12" customHeight="1">
      <c r="A153" s="747"/>
      <c r="B153" s="748"/>
      <c r="C153" s="749"/>
      <c r="D153" s="750" t="s">
        <v>1032</v>
      </c>
      <c r="E153" s="751"/>
      <c r="F153" s="751">
        <v>0</v>
      </c>
      <c r="G153" s="752"/>
      <c r="H153" s="752"/>
      <c r="I153" s="752"/>
      <c r="J153" s="752"/>
      <c r="K153" s="752"/>
      <c r="L153" s="752"/>
      <c r="M153" s="752"/>
      <c r="N153" s="752"/>
      <c r="O153" s="752"/>
      <c r="P153" s="752"/>
      <c r="Q153" s="752"/>
      <c r="R153" s="749"/>
      <c r="S153" s="753"/>
    </row>
    <row r="154" spans="1:19" ht="12" customHeight="1">
      <c r="A154" s="747" t="s">
        <v>316</v>
      </c>
      <c r="B154" s="748" t="s">
        <v>393</v>
      </c>
      <c r="C154" s="749" t="s">
        <v>394</v>
      </c>
      <c r="D154" s="750" t="s">
        <v>4</v>
      </c>
      <c r="E154" s="751"/>
      <c r="F154" s="751">
        <v>2500</v>
      </c>
      <c r="G154" s="752"/>
      <c r="H154" s="752"/>
      <c r="I154" s="752">
        <v>2500</v>
      </c>
      <c r="J154" s="752"/>
      <c r="K154" s="752"/>
      <c r="L154" s="752"/>
      <c r="M154" s="752"/>
      <c r="N154" s="752"/>
      <c r="O154" s="752"/>
      <c r="P154" s="752"/>
      <c r="Q154" s="752"/>
      <c r="R154" s="749"/>
      <c r="S154" s="753"/>
    </row>
    <row r="155" spans="1:19" ht="12" customHeight="1">
      <c r="A155" s="747"/>
      <c r="B155" s="748"/>
      <c r="C155" s="749"/>
      <c r="D155" s="750" t="s">
        <v>976</v>
      </c>
      <c r="E155" s="751"/>
      <c r="F155" s="751">
        <v>2500</v>
      </c>
      <c r="G155" s="752"/>
      <c r="H155" s="752"/>
      <c r="I155" s="752">
        <v>2500</v>
      </c>
      <c r="J155" s="752"/>
      <c r="K155" s="752"/>
      <c r="L155" s="752"/>
      <c r="M155" s="752"/>
      <c r="N155" s="752"/>
      <c r="O155" s="752"/>
      <c r="P155" s="752"/>
      <c r="Q155" s="752"/>
      <c r="R155" s="749"/>
      <c r="S155" s="753"/>
    </row>
    <row r="156" spans="1:19" ht="12" customHeight="1">
      <c r="A156" s="747"/>
      <c r="B156" s="748"/>
      <c r="C156" s="749"/>
      <c r="D156" s="754" t="s">
        <v>1032</v>
      </c>
      <c r="E156" s="751"/>
      <c r="F156" s="751">
        <v>1438</v>
      </c>
      <c r="G156" s="752">
        <v>110</v>
      </c>
      <c r="H156" s="752">
        <v>29</v>
      </c>
      <c r="I156" s="752">
        <v>1299</v>
      </c>
      <c r="J156" s="752"/>
      <c r="K156" s="752"/>
      <c r="L156" s="752"/>
      <c r="M156" s="752"/>
      <c r="N156" s="752"/>
      <c r="O156" s="752"/>
      <c r="P156" s="752"/>
      <c r="Q156" s="752"/>
      <c r="R156" s="749"/>
      <c r="S156" s="753"/>
    </row>
    <row r="157" spans="1:19" ht="12" customHeight="1">
      <c r="A157" s="747" t="s">
        <v>316</v>
      </c>
      <c r="B157" s="748" t="s">
        <v>1018</v>
      </c>
      <c r="C157" s="749" t="s">
        <v>395</v>
      </c>
      <c r="D157" s="750" t="s">
        <v>4</v>
      </c>
      <c r="E157" s="751"/>
      <c r="F157" s="751">
        <v>0</v>
      </c>
      <c r="G157" s="752"/>
      <c r="H157" s="752"/>
      <c r="I157" s="752"/>
      <c r="J157" s="752"/>
      <c r="K157" s="752"/>
      <c r="L157" s="752"/>
      <c r="M157" s="752"/>
      <c r="N157" s="752"/>
      <c r="O157" s="752"/>
      <c r="P157" s="752"/>
      <c r="Q157" s="752"/>
      <c r="R157" s="749"/>
      <c r="S157" s="753"/>
    </row>
    <row r="158" spans="1:19" ht="12" customHeight="1">
      <c r="A158" s="747"/>
      <c r="B158" s="748"/>
      <c r="C158" s="749"/>
      <c r="D158" s="750" t="s">
        <v>976</v>
      </c>
      <c r="E158" s="751"/>
      <c r="F158" s="751">
        <v>8390</v>
      </c>
      <c r="G158" s="752"/>
      <c r="H158" s="752"/>
      <c r="I158" s="752"/>
      <c r="J158" s="752">
        <v>8390</v>
      </c>
      <c r="K158" s="752"/>
      <c r="L158" s="752"/>
      <c r="M158" s="752"/>
      <c r="N158" s="752"/>
      <c r="O158" s="752"/>
      <c r="P158" s="752"/>
      <c r="Q158" s="752"/>
      <c r="R158" s="749"/>
      <c r="S158" s="753"/>
    </row>
    <row r="159" spans="1:19" ht="12" customHeight="1">
      <c r="A159" s="747"/>
      <c r="B159" s="748"/>
      <c r="C159" s="749"/>
      <c r="D159" s="750" t="s">
        <v>1032</v>
      </c>
      <c r="E159" s="751"/>
      <c r="F159" s="751">
        <v>8390</v>
      </c>
      <c r="G159" s="752"/>
      <c r="H159" s="752"/>
      <c r="I159" s="752"/>
      <c r="J159" s="752">
        <v>8390</v>
      </c>
      <c r="K159" s="752"/>
      <c r="L159" s="752"/>
      <c r="M159" s="752"/>
      <c r="N159" s="752"/>
      <c r="O159" s="752"/>
      <c r="P159" s="752"/>
      <c r="Q159" s="752"/>
      <c r="R159" s="749"/>
      <c r="S159" s="753"/>
    </row>
    <row r="160" spans="1:19" ht="12" customHeight="1">
      <c r="A160" s="747" t="s">
        <v>316</v>
      </c>
      <c r="B160" s="748" t="s">
        <v>396</v>
      </c>
      <c r="C160" s="749" t="s">
        <v>397</v>
      </c>
      <c r="D160" s="750" t="s">
        <v>4</v>
      </c>
      <c r="E160" s="751"/>
      <c r="F160" s="751">
        <v>1500</v>
      </c>
      <c r="G160" s="752"/>
      <c r="H160" s="752"/>
      <c r="I160" s="752"/>
      <c r="J160" s="752"/>
      <c r="K160" s="752">
        <v>1500</v>
      </c>
      <c r="L160" s="752"/>
      <c r="M160" s="752"/>
      <c r="N160" s="752"/>
      <c r="O160" s="752"/>
      <c r="P160" s="752"/>
      <c r="Q160" s="752"/>
      <c r="R160" s="749"/>
      <c r="S160" s="753"/>
    </row>
    <row r="161" spans="1:19" ht="12" customHeight="1">
      <c r="A161" s="747"/>
      <c r="B161" s="748"/>
      <c r="C161" s="749"/>
      <c r="D161" s="750" t="s">
        <v>976</v>
      </c>
      <c r="E161" s="751"/>
      <c r="F161" s="751">
        <v>2446</v>
      </c>
      <c r="G161" s="752"/>
      <c r="H161" s="752"/>
      <c r="I161" s="752"/>
      <c r="J161" s="752"/>
      <c r="K161" s="752">
        <v>2446</v>
      </c>
      <c r="L161" s="752"/>
      <c r="M161" s="752"/>
      <c r="N161" s="752"/>
      <c r="O161" s="752"/>
      <c r="P161" s="752"/>
      <c r="Q161" s="752"/>
      <c r="R161" s="749"/>
      <c r="S161" s="753"/>
    </row>
    <row r="162" spans="1:19" ht="12" customHeight="1">
      <c r="A162" s="747"/>
      <c r="B162" s="748"/>
      <c r="C162" s="749"/>
      <c r="D162" s="754" t="s">
        <v>1032</v>
      </c>
      <c r="E162" s="751"/>
      <c r="F162" s="751">
        <v>2303</v>
      </c>
      <c r="G162" s="755"/>
      <c r="H162" s="755">
        <v>7</v>
      </c>
      <c r="I162" s="755">
        <v>30</v>
      </c>
      <c r="J162" s="755"/>
      <c r="K162" s="755">
        <v>2266</v>
      </c>
      <c r="L162" s="755"/>
      <c r="M162" s="755"/>
      <c r="N162" s="755"/>
      <c r="O162" s="755"/>
      <c r="P162" s="755"/>
      <c r="Q162" s="755"/>
      <c r="R162" s="749"/>
      <c r="S162" s="753"/>
    </row>
    <row r="163" spans="1:19" ht="12" customHeight="1">
      <c r="A163" s="747" t="s">
        <v>316</v>
      </c>
      <c r="B163" s="748" t="s">
        <v>396</v>
      </c>
      <c r="C163" s="749" t="s">
        <v>397</v>
      </c>
      <c r="D163" s="750" t="s">
        <v>4</v>
      </c>
      <c r="E163" s="751"/>
      <c r="F163" s="751">
        <v>0</v>
      </c>
      <c r="G163" s="755"/>
      <c r="H163" s="755"/>
      <c r="I163" s="755"/>
      <c r="J163" s="755"/>
      <c r="K163" s="755"/>
      <c r="L163" s="755"/>
      <c r="M163" s="755"/>
      <c r="N163" s="755"/>
      <c r="O163" s="755"/>
      <c r="P163" s="755"/>
      <c r="Q163" s="755"/>
      <c r="R163" s="749"/>
      <c r="S163" s="753"/>
    </row>
    <row r="164" spans="1:19" ht="12" customHeight="1">
      <c r="A164" s="747"/>
      <c r="B164" s="748"/>
      <c r="C164" s="749"/>
      <c r="D164" s="750" t="s">
        <v>976</v>
      </c>
      <c r="E164" s="751"/>
      <c r="F164" s="751">
        <v>0</v>
      </c>
      <c r="G164" s="755"/>
      <c r="H164" s="755"/>
      <c r="I164" s="755"/>
      <c r="J164" s="755"/>
      <c r="K164" s="755"/>
      <c r="L164" s="755"/>
      <c r="M164" s="755"/>
      <c r="N164" s="755"/>
      <c r="O164" s="755"/>
      <c r="P164" s="755"/>
      <c r="Q164" s="755"/>
      <c r="R164" s="749"/>
      <c r="S164" s="753"/>
    </row>
    <row r="165" spans="1:19" ht="12" customHeight="1">
      <c r="A165" s="747"/>
      <c r="B165" s="748"/>
      <c r="C165" s="749"/>
      <c r="D165" s="750" t="s">
        <v>1032</v>
      </c>
      <c r="E165" s="751"/>
      <c r="F165" s="751">
        <v>0</v>
      </c>
      <c r="G165" s="755"/>
      <c r="H165" s="755"/>
      <c r="I165" s="755"/>
      <c r="J165" s="755"/>
      <c r="K165" s="755"/>
      <c r="L165" s="755"/>
      <c r="M165" s="755"/>
      <c r="N165" s="755"/>
      <c r="O165" s="755"/>
      <c r="P165" s="755"/>
      <c r="Q165" s="755"/>
      <c r="R165" s="749"/>
      <c r="S165" s="753"/>
    </row>
    <row r="166" spans="1:19" ht="12" customHeight="1">
      <c r="A166" s="747" t="s">
        <v>313</v>
      </c>
      <c r="B166" s="748" t="s">
        <v>1005</v>
      </c>
      <c r="C166" s="749" t="s">
        <v>1006</v>
      </c>
      <c r="D166" s="750" t="s">
        <v>4</v>
      </c>
      <c r="E166" s="751"/>
      <c r="F166" s="751">
        <v>0</v>
      </c>
      <c r="G166" s="755"/>
      <c r="H166" s="755"/>
      <c r="I166" s="755"/>
      <c r="J166" s="755"/>
      <c r="K166" s="755"/>
      <c r="L166" s="755"/>
      <c r="M166" s="755"/>
      <c r="N166" s="755"/>
      <c r="O166" s="755"/>
      <c r="P166" s="755"/>
      <c r="Q166" s="755"/>
      <c r="R166" s="749"/>
      <c r="S166" s="753"/>
    </row>
    <row r="167" spans="1:19" ht="12" customHeight="1">
      <c r="A167" s="747"/>
      <c r="B167" s="748"/>
      <c r="C167" s="749"/>
      <c r="D167" s="750" t="s">
        <v>976</v>
      </c>
      <c r="E167" s="751"/>
      <c r="F167" s="751">
        <v>15378</v>
      </c>
      <c r="G167" s="755"/>
      <c r="H167" s="755"/>
      <c r="I167" s="755"/>
      <c r="J167" s="755">
        <v>15378</v>
      </c>
      <c r="K167" s="755"/>
      <c r="L167" s="755"/>
      <c r="M167" s="755"/>
      <c r="N167" s="755"/>
      <c r="O167" s="755"/>
      <c r="P167" s="755"/>
      <c r="Q167" s="755"/>
      <c r="R167" s="749"/>
      <c r="S167" s="753"/>
    </row>
    <row r="168" spans="1:19" ht="12" customHeight="1">
      <c r="A168" s="747"/>
      <c r="B168" s="748"/>
      <c r="C168" s="749"/>
      <c r="D168" s="754" t="s">
        <v>1032</v>
      </c>
      <c r="E168" s="751"/>
      <c r="F168" s="751">
        <v>15378</v>
      </c>
      <c r="G168" s="755"/>
      <c r="H168" s="755"/>
      <c r="I168" s="755"/>
      <c r="J168" s="755">
        <v>15378</v>
      </c>
      <c r="K168" s="755"/>
      <c r="L168" s="755"/>
      <c r="M168" s="755"/>
      <c r="N168" s="755"/>
      <c r="O168" s="755"/>
      <c r="P168" s="755"/>
      <c r="Q168" s="755"/>
      <c r="R168" s="749"/>
      <c r="S168" s="753"/>
    </row>
    <row r="169" spans="1:19" ht="12" customHeight="1">
      <c r="A169" s="747" t="s">
        <v>313</v>
      </c>
      <c r="B169" s="748" t="s">
        <v>398</v>
      </c>
      <c r="C169" s="749" t="s">
        <v>399</v>
      </c>
      <c r="D169" s="750" t="s">
        <v>4</v>
      </c>
      <c r="E169" s="751"/>
      <c r="F169" s="751">
        <v>0</v>
      </c>
      <c r="G169" s="755"/>
      <c r="H169" s="755"/>
      <c r="I169" s="755"/>
      <c r="J169" s="755"/>
      <c r="K169" s="755"/>
      <c r="L169" s="755"/>
      <c r="M169" s="755"/>
      <c r="N169" s="755"/>
      <c r="O169" s="755"/>
      <c r="P169" s="755"/>
      <c r="Q169" s="755"/>
      <c r="R169" s="749"/>
      <c r="S169" s="753"/>
    </row>
    <row r="170" spans="1:19" ht="12" customHeight="1">
      <c r="A170" s="747"/>
      <c r="B170" s="748"/>
      <c r="C170" s="749"/>
      <c r="D170" s="750" t="s">
        <v>976</v>
      </c>
      <c r="E170" s="751"/>
      <c r="F170" s="751">
        <v>12973</v>
      </c>
      <c r="G170" s="755"/>
      <c r="H170" s="755"/>
      <c r="I170" s="755"/>
      <c r="J170" s="755">
        <v>12973</v>
      </c>
      <c r="K170" s="755"/>
      <c r="L170" s="755"/>
      <c r="M170" s="755"/>
      <c r="N170" s="755"/>
      <c r="O170" s="755"/>
      <c r="P170" s="755"/>
      <c r="Q170" s="755"/>
      <c r="R170" s="749"/>
      <c r="S170" s="753"/>
    </row>
    <row r="171" spans="1:19" ht="12" customHeight="1">
      <c r="A171" s="747"/>
      <c r="B171" s="748"/>
      <c r="C171" s="749"/>
      <c r="D171" s="750" t="s">
        <v>1032</v>
      </c>
      <c r="E171" s="751"/>
      <c r="F171" s="751">
        <v>12973</v>
      </c>
      <c r="G171" s="755"/>
      <c r="H171" s="755"/>
      <c r="I171" s="755"/>
      <c r="J171" s="755">
        <v>12973</v>
      </c>
      <c r="K171" s="755"/>
      <c r="L171" s="755"/>
      <c r="M171" s="755"/>
      <c r="N171" s="755"/>
      <c r="O171" s="755"/>
      <c r="P171" s="755"/>
      <c r="Q171" s="755"/>
      <c r="R171" s="749"/>
      <c r="S171" s="753"/>
    </row>
    <row r="172" spans="1:19" ht="12" customHeight="1">
      <c r="A172" s="747" t="s">
        <v>313</v>
      </c>
      <c r="B172" s="748" t="s">
        <v>1001</v>
      </c>
      <c r="C172" s="749" t="s">
        <v>1002</v>
      </c>
      <c r="D172" s="750" t="s">
        <v>4</v>
      </c>
      <c r="E172" s="751"/>
      <c r="F172" s="751">
        <v>0</v>
      </c>
      <c r="G172" s="755"/>
      <c r="H172" s="755"/>
      <c r="I172" s="755"/>
      <c r="J172" s="755"/>
      <c r="K172" s="755"/>
      <c r="L172" s="755"/>
      <c r="M172" s="755"/>
      <c r="N172" s="755"/>
      <c r="O172" s="755"/>
      <c r="P172" s="755"/>
      <c r="Q172" s="755"/>
      <c r="R172" s="749"/>
      <c r="S172" s="753"/>
    </row>
    <row r="173" spans="1:19" ht="12" customHeight="1">
      <c r="A173" s="747"/>
      <c r="B173" s="748"/>
      <c r="C173" s="749"/>
      <c r="D173" s="750" t="s">
        <v>976</v>
      </c>
      <c r="E173" s="751"/>
      <c r="F173" s="751">
        <v>171159</v>
      </c>
      <c r="G173" s="755"/>
      <c r="H173" s="755"/>
      <c r="I173" s="755"/>
      <c r="J173" s="755">
        <v>171159</v>
      </c>
      <c r="K173" s="755"/>
      <c r="L173" s="755"/>
      <c r="M173" s="755"/>
      <c r="N173" s="755"/>
      <c r="O173" s="755"/>
      <c r="P173" s="755"/>
      <c r="Q173" s="755"/>
      <c r="R173" s="749"/>
      <c r="S173" s="753"/>
    </row>
    <row r="174" spans="1:19" ht="12" customHeight="1">
      <c r="A174" s="747"/>
      <c r="B174" s="748"/>
      <c r="C174" s="749"/>
      <c r="D174" s="754" t="s">
        <v>1032</v>
      </c>
      <c r="E174" s="751"/>
      <c r="F174" s="751">
        <v>171157</v>
      </c>
      <c r="G174" s="755"/>
      <c r="H174" s="755"/>
      <c r="I174" s="755"/>
      <c r="J174" s="755">
        <v>171157</v>
      </c>
      <c r="K174" s="755"/>
      <c r="L174" s="755"/>
      <c r="M174" s="755"/>
      <c r="N174" s="755"/>
      <c r="O174" s="755"/>
      <c r="P174" s="755"/>
      <c r="Q174" s="755"/>
      <c r="R174" s="749"/>
      <c r="S174" s="753"/>
    </row>
    <row r="175" spans="1:19" ht="12" customHeight="1">
      <c r="A175" s="747" t="s">
        <v>313</v>
      </c>
      <c r="B175" s="748" t="s">
        <v>1003</v>
      </c>
      <c r="C175" s="749" t="s">
        <v>1004</v>
      </c>
      <c r="D175" s="750" t="s">
        <v>4</v>
      </c>
      <c r="E175" s="751"/>
      <c r="F175" s="751">
        <v>0</v>
      </c>
      <c r="G175" s="755"/>
      <c r="H175" s="755"/>
      <c r="I175" s="755"/>
      <c r="J175" s="755"/>
      <c r="K175" s="755"/>
      <c r="L175" s="755"/>
      <c r="M175" s="755"/>
      <c r="N175" s="755"/>
      <c r="O175" s="755"/>
      <c r="P175" s="755"/>
      <c r="Q175" s="755"/>
      <c r="R175" s="749"/>
      <c r="S175" s="753"/>
    </row>
    <row r="176" spans="1:19" ht="12" customHeight="1">
      <c r="A176" s="747"/>
      <c r="B176" s="748"/>
      <c r="C176" s="749"/>
      <c r="D176" s="750" t="s">
        <v>976</v>
      </c>
      <c r="E176" s="751"/>
      <c r="F176" s="751">
        <v>10886</v>
      </c>
      <c r="G176" s="755"/>
      <c r="H176" s="755"/>
      <c r="I176" s="755"/>
      <c r="J176" s="755">
        <v>10886</v>
      </c>
      <c r="K176" s="755"/>
      <c r="L176" s="755"/>
      <c r="M176" s="755"/>
      <c r="N176" s="755"/>
      <c r="O176" s="755"/>
      <c r="P176" s="755"/>
      <c r="Q176" s="755"/>
      <c r="R176" s="749"/>
      <c r="S176" s="753"/>
    </row>
    <row r="177" spans="1:19" ht="12" customHeight="1">
      <c r="A177" s="747"/>
      <c r="B177" s="748"/>
      <c r="C177" s="749"/>
      <c r="D177" s="750" t="s">
        <v>1032</v>
      </c>
      <c r="E177" s="751"/>
      <c r="F177" s="751">
        <v>10887</v>
      </c>
      <c r="G177" s="755"/>
      <c r="H177" s="755"/>
      <c r="I177" s="755"/>
      <c r="J177" s="755">
        <v>10887</v>
      </c>
      <c r="K177" s="755"/>
      <c r="L177" s="755"/>
      <c r="M177" s="755"/>
      <c r="N177" s="755"/>
      <c r="O177" s="755"/>
      <c r="P177" s="755"/>
      <c r="Q177" s="755"/>
      <c r="R177" s="749"/>
      <c r="S177" s="753"/>
    </row>
    <row r="178" spans="1:19" ht="12" customHeight="1">
      <c r="A178" s="747" t="s">
        <v>313</v>
      </c>
      <c r="B178" s="748" t="s">
        <v>400</v>
      </c>
      <c r="C178" s="749" t="s">
        <v>401</v>
      </c>
      <c r="D178" s="750" t="s">
        <v>4</v>
      </c>
      <c r="E178" s="751"/>
      <c r="F178" s="751">
        <v>0</v>
      </c>
      <c r="G178" s="755"/>
      <c r="H178" s="755"/>
      <c r="I178" s="755"/>
      <c r="J178" s="755"/>
      <c r="K178" s="755"/>
      <c r="L178" s="755"/>
      <c r="M178" s="755"/>
      <c r="N178" s="755"/>
      <c r="O178" s="755"/>
      <c r="P178" s="755"/>
      <c r="Q178" s="755"/>
      <c r="R178" s="749"/>
      <c r="S178" s="753"/>
    </row>
    <row r="179" spans="1:19" ht="12" customHeight="1">
      <c r="A179" s="747"/>
      <c r="B179" s="748"/>
      <c r="C179" s="749"/>
      <c r="D179" s="750" t="s">
        <v>976</v>
      </c>
      <c r="E179" s="751"/>
      <c r="F179" s="751">
        <v>0</v>
      </c>
      <c r="G179" s="755"/>
      <c r="H179" s="755"/>
      <c r="I179" s="755"/>
      <c r="J179" s="755"/>
      <c r="K179" s="755"/>
      <c r="L179" s="755"/>
      <c r="M179" s="755"/>
      <c r="N179" s="755"/>
      <c r="O179" s="755"/>
      <c r="P179" s="755"/>
      <c r="Q179" s="755"/>
      <c r="R179" s="749"/>
      <c r="S179" s="753"/>
    </row>
    <row r="180" spans="1:19" ht="12" customHeight="1">
      <c r="A180" s="747"/>
      <c r="B180" s="748"/>
      <c r="C180" s="754"/>
      <c r="D180" s="754" t="s">
        <v>1032</v>
      </c>
      <c r="E180" s="751"/>
      <c r="F180" s="751">
        <v>0</v>
      </c>
      <c r="G180" s="752"/>
      <c r="H180" s="752"/>
      <c r="I180" s="752"/>
      <c r="J180" s="752"/>
      <c r="K180" s="752"/>
      <c r="L180" s="752"/>
      <c r="M180" s="752"/>
      <c r="N180" s="752"/>
      <c r="O180" s="752"/>
      <c r="P180" s="752"/>
      <c r="Q180" s="752"/>
      <c r="R180" s="749"/>
      <c r="S180" s="753"/>
    </row>
    <row r="181" spans="1:19" ht="12" customHeight="1">
      <c r="A181" s="747" t="s">
        <v>313</v>
      </c>
      <c r="B181" s="748" t="s">
        <v>1007</v>
      </c>
      <c r="C181" s="754" t="s">
        <v>1008</v>
      </c>
      <c r="D181" s="750" t="s">
        <v>4</v>
      </c>
      <c r="E181" s="751"/>
      <c r="F181" s="751">
        <v>0</v>
      </c>
      <c r="G181" s="752"/>
      <c r="H181" s="752"/>
      <c r="I181" s="752"/>
      <c r="J181" s="752"/>
      <c r="K181" s="752"/>
      <c r="L181" s="752"/>
      <c r="M181" s="752"/>
      <c r="N181" s="752"/>
      <c r="O181" s="752"/>
      <c r="P181" s="752"/>
      <c r="Q181" s="752"/>
      <c r="R181" s="749"/>
      <c r="S181" s="753"/>
    </row>
    <row r="182" spans="1:19" ht="12" customHeight="1">
      <c r="A182" s="747"/>
      <c r="B182" s="748"/>
      <c r="C182" s="754"/>
      <c r="D182" s="750" t="s">
        <v>976</v>
      </c>
      <c r="E182" s="751"/>
      <c r="F182" s="751">
        <v>26535</v>
      </c>
      <c r="G182" s="752"/>
      <c r="H182" s="752"/>
      <c r="I182" s="752"/>
      <c r="J182" s="752">
        <v>26535</v>
      </c>
      <c r="K182" s="752"/>
      <c r="L182" s="752"/>
      <c r="M182" s="752"/>
      <c r="N182" s="752"/>
      <c r="O182" s="752"/>
      <c r="P182" s="752"/>
      <c r="Q182" s="752"/>
      <c r="R182" s="749"/>
      <c r="S182" s="753"/>
    </row>
    <row r="183" spans="1:19" ht="12" customHeight="1">
      <c r="A183" s="747"/>
      <c r="B183" s="748"/>
      <c r="C183" s="754"/>
      <c r="D183" s="750" t="s">
        <v>1032</v>
      </c>
      <c r="E183" s="751"/>
      <c r="F183" s="751">
        <v>26535</v>
      </c>
      <c r="G183" s="752"/>
      <c r="H183" s="752"/>
      <c r="I183" s="752"/>
      <c r="J183" s="752">
        <v>26535</v>
      </c>
      <c r="K183" s="752"/>
      <c r="L183" s="752"/>
      <c r="M183" s="752"/>
      <c r="N183" s="752"/>
      <c r="O183" s="752"/>
      <c r="P183" s="752"/>
      <c r="Q183" s="752"/>
      <c r="R183" s="749"/>
      <c r="S183" s="753"/>
    </row>
    <row r="184" spans="1:19" ht="12" customHeight="1">
      <c r="A184" s="747" t="s">
        <v>313</v>
      </c>
      <c r="B184" s="748" t="s">
        <v>402</v>
      </c>
      <c r="C184" s="754" t="s">
        <v>403</v>
      </c>
      <c r="D184" s="750" t="s">
        <v>4</v>
      </c>
      <c r="E184" s="751"/>
      <c r="F184" s="751">
        <v>0</v>
      </c>
      <c r="G184" s="752"/>
      <c r="H184" s="752"/>
      <c r="I184" s="752"/>
      <c r="J184" s="752"/>
      <c r="K184" s="752"/>
      <c r="L184" s="752"/>
      <c r="M184" s="752"/>
      <c r="N184" s="752"/>
      <c r="O184" s="752"/>
      <c r="P184" s="752"/>
      <c r="Q184" s="752"/>
      <c r="R184" s="749"/>
      <c r="S184" s="753"/>
    </row>
    <row r="185" spans="1:19" ht="12" customHeight="1">
      <c r="A185" s="747"/>
      <c r="B185" s="748"/>
      <c r="C185" s="754"/>
      <c r="D185" s="750" t="s">
        <v>976</v>
      </c>
      <c r="E185" s="751">
        <v>6560</v>
      </c>
      <c r="F185" s="751">
        <v>0</v>
      </c>
      <c r="G185" s="752"/>
      <c r="H185" s="752"/>
      <c r="I185" s="752"/>
      <c r="J185" s="752"/>
      <c r="K185" s="752"/>
      <c r="L185" s="752"/>
      <c r="M185" s="752"/>
      <c r="N185" s="752"/>
      <c r="O185" s="752"/>
      <c r="P185" s="752"/>
      <c r="Q185" s="752"/>
      <c r="R185" s="749"/>
      <c r="S185" s="753"/>
    </row>
    <row r="186" spans="1:19" ht="12" customHeight="1">
      <c r="A186" s="747"/>
      <c r="B186" s="748"/>
      <c r="C186" s="749"/>
      <c r="D186" s="754" t="s">
        <v>1032</v>
      </c>
      <c r="E186" s="751">
        <v>6560</v>
      </c>
      <c r="F186" s="751">
        <v>80</v>
      </c>
      <c r="G186" s="755"/>
      <c r="H186" s="755"/>
      <c r="I186" s="755"/>
      <c r="J186" s="755"/>
      <c r="K186" s="755">
        <v>80</v>
      </c>
      <c r="L186" s="755"/>
      <c r="M186" s="755"/>
      <c r="N186" s="755"/>
      <c r="O186" s="757"/>
      <c r="P186" s="755"/>
      <c r="Q186" s="755"/>
      <c r="R186" s="749"/>
      <c r="S186" s="753"/>
    </row>
    <row r="187" spans="1:19" ht="12" customHeight="1">
      <c r="A187" s="747" t="s">
        <v>313</v>
      </c>
      <c r="B187" s="748" t="s">
        <v>402</v>
      </c>
      <c r="C187" s="749" t="s">
        <v>403</v>
      </c>
      <c r="D187" s="750" t="s">
        <v>4</v>
      </c>
      <c r="E187" s="751"/>
      <c r="F187" s="751">
        <v>0</v>
      </c>
      <c r="G187" s="755"/>
      <c r="H187" s="755"/>
      <c r="I187" s="755"/>
      <c r="J187" s="755"/>
      <c r="K187" s="755"/>
      <c r="L187" s="755"/>
      <c r="M187" s="755"/>
      <c r="N187" s="755"/>
      <c r="O187" s="757"/>
      <c r="P187" s="755"/>
      <c r="Q187" s="755"/>
      <c r="R187" s="749"/>
      <c r="S187" s="753"/>
    </row>
    <row r="188" spans="1:19" ht="12" customHeight="1">
      <c r="A188" s="747"/>
      <c r="B188" s="748"/>
      <c r="C188" s="749"/>
      <c r="D188" s="750" t="s">
        <v>976</v>
      </c>
      <c r="E188" s="751"/>
      <c r="F188" s="751">
        <v>0</v>
      </c>
      <c r="G188" s="755"/>
      <c r="H188" s="755"/>
      <c r="I188" s="755"/>
      <c r="J188" s="755"/>
      <c r="K188" s="755"/>
      <c r="L188" s="755"/>
      <c r="M188" s="755"/>
      <c r="N188" s="755"/>
      <c r="O188" s="757"/>
      <c r="P188" s="755"/>
      <c r="Q188" s="755"/>
      <c r="R188" s="749"/>
      <c r="S188" s="753"/>
    </row>
    <row r="189" spans="1:19" ht="12" customHeight="1">
      <c r="A189" s="747"/>
      <c r="B189" s="748"/>
      <c r="C189" s="749"/>
      <c r="D189" s="750" t="s">
        <v>1032</v>
      </c>
      <c r="E189" s="751"/>
      <c r="F189" s="751">
        <v>0</v>
      </c>
      <c r="G189" s="755"/>
      <c r="H189" s="755"/>
      <c r="I189" s="755"/>
      <c r="J189" s="755"/>
      <c r="K189" s="755"/>
      <c r="L189" s="755"/>
      <c r="M189" s="755"/>
      <c r="N189" s="755"/>
      <c r="O189" s="757"/>
      <c r="P189" s="755"/>
      <c r="Q189" s="755"/>
      <c r="R189" s="749"/>
      <c r="S189" s="753"/>
    </row>
    <row r="190" spans="1:19" ht="12" customHeight="1">
      <c r="A190" s="747" t="s">
        <v>313</v>
      </c>
      <c r="B190" s="748" t="s">
        <v>402</v>
      </c>
      <c r="C190" s="749" t="s">
        <v>404</v>
      </c>
      <c r="D190" s="750" t="s">
        <v>4</v>
      </c>
      <c r="E190" s="751"/>
      <c r="F190" s="751">
        <v>0</v>
      </c>
      <c r="G190" s="755"/>
      <c r="H190" s="755"/>
      <c r="I190" s="755"/>
      <c r="J190" s="755"/>
      <c r="K190" s="755"/>
      <c r="L190" s="755"/>
      <c r="M190" s="755"/>
      <c r="N190" s="755"/>
      <c r="O190" s="757"/>
      <c r="P190" s="755"/>
      <c r="Q190" s="755"/>
      <c r="R190" s="749"/>
      <c r="S190" s="753"/>
    </row>
    <row r="191" spans="1:19" ht="12" customHeight="1">
      <c r="A191" s="747"/>
      <c r="B191" s="748"/>
      <c r="C191" s="749"/>
      <c r="D191" s="750" t="s">
        <v>976</v>
      </c>
      <c r="E191" s="751"/>
      <c r="F191" s="751">
        <v>0</v>
      </c>
      <c r="G191" s="755"/>
      <c r="H191" s="755"/>
      <c r="I191" s="755"/>
      <c r="J191" s="755"/>
      <c r="K191" s="755"/>
      <c r="L191" s="755"/>
      <c r="M191" s="755"/>
      <c r="N191" s="755"/>
      <c r="O191" s="757"/>
      <c r="P191" s="755"/>
      <c r="Q191" s="755"/>
      <c r="R191" s="749"/>
      <c r="S191" s="753"/>
    </row>
    <row r="192" spans="1:19" ht="12" customHeight="1">
      <c r="A192" s="747"/>
      <c r="B192" s="748"/>
      <c r="C192" s="749"/>
      <c r="D192" s="754" t="s">
        <v>1032</v>
      </c>
      <c r="E192" s="751"/>
      <c r="F192" s="751">
        <v>0</v>
      </c>
      <c r="G192" s="752"/>
      <c r="H192" s="752"/>
      <c r="I192" s="752"/>
      <c r="J192" s="752"/>
      <c r="K192" s="752"/>
      <c r="L192" s="752"/>
      <c r="M192" s="752"/>
      <c r="N192" s="752"/>
      <c r="O192" s="752"/>
      <c r="P192" s="752"/>
      <c r="Q192" s="752"/>
      <c r="R192" s="749"/>
      <c r="S192" s="753"/>
    </row>
    <row r="193" spans="1:19" ht="12" customHeight="1">
      <c r="A193" s="747" t="s">
        <v>313</v>
      </c>
      <c r="B193" s="748" t="s">
        <v>405</v>
      </c>
      <c r="C193" s="749" t="s">
        <v>406</v>
      </c>
      <c r="D193" s="750" t="s">
        <v>4</v>
      </c>
      <c r="E193" s="751">
        <v>0</v>
      </c>
      <c r="F193" s="751">
        <v>0</v>
      </c>
      <c r="G193" s="752"/>
      <c r="H193" s="752"/>
      <c r="I193" s="752"/>
      <c r="J193" s="752"/>
      <c r="K193" s="752"/>
      <c r="L193" s="752"/>
      <c r="M193" s="752"/>
      <c r="N193" s="752"/>
      <c r="O193" s="752"/>
      <c r="P193" s="752"/>
      <c r="Q193" s="752"/>
      <c r="R193" s="749"/>
      <c r="S193" s="753"/>
    </row>
    <row r="194" spans="1:19" ht="12" customHeight="1">
      <c r="A194" s="747"/>
      <c r="B194" s="748"/>
      <c r="C194" s="749"/>
      <c r="D194" s="750" t="s">
        <v>976</v>
      </c>
      <c r="E194" s="751"/>
      <c r="F194" s="751">
        <v>0</v>
      </c>
      <c r="G194" s="752"/>
      <c r="H194" s="752"/>
      <c r="I194" s="752"/>
      <c r="J194" s="752"/>
      <c r="K194" s="752"/>
      <c r="L194" s="752"/>
      <c r="M194" s="752"/>
      <c r="N194" s="752"/>
      <c r="O194" s="752"/>
      <c r="P194" s="752"/>
      <c r="Q194" s="752"/>
      <c r="R194" s="749"/>
      <c r="S194" s="753"/>
    </row>
    <row r="195" spans="1:19" ht="12" customHeight="1">
      <c r="A195" s="747"/>
      <c r="B195" s="748"/>
      <c r="C195" s="749"/>
      <c r="D195" s="750" t="s">
        <v>1032</v>
      </c>
      <c r="E195" s="751"/>
      <c r="F195" s="751">
        <v>0</v>
      </c>
      <c r="G195" s="752"/>
      <c r="H195" s="752"/>
      <c r="I195" s="752"/>
      <c r="J195" s="752"/>
      <c r="K195" s="752"/>
      <c r="L195" s="752"/>
      <c r="M195" s="752"/>
      <c r="N195" s="752"/>
      <c r="O195" s="752"/>
      <c r="P195" s="752"/>
      <c r="Q195" s="752"/>
      <c r="R195" s="749"/>
      <c r="S195" s="753"/>
    </row>
    <row r="196" spans="1:19" ht="12" customHeight="1">
      <c r="A196" s="747" t="s">
        <v>313</v>
      </c>
      <c r="B196" s="748" t="s">
        <v>407</v>
      </c>
      <c r="C196" s="749" t="s">
        <v>408</v>
      </c>
      <c r="D196" s="750" t="s">
        <v>4</v>
      </c>
      <c r="E196" s="751">
        <v>29000</v>
      </c>
      <c r="F196" s="751">
        <v>55992</v>
      </c>
      <c r="G196" s="752"/>
      <c r="H196" s="752"/>
      <c r="I196" s="752">
        <v>55992</v>
      </c>
      <c r="J196" s="752"/>
      <c r="K196" s="752"/>
      <c r="L196" s="752"/>
      <c r="M196" s="752"/>
      <c r="N196" s="752"/>
      <c r="O196" s="752"/>
      <c r="P196" s="752"/>
      <c r="Q196" s="752"/>
      <c r="R196" s="749"/>
      <c r="S196" s="753"/>
    </row>
    <row r="197" spans="1:19" ht="12" customHeight="1">
      <c r="A197" s="747"/>
      <c r="B197" s="748"/>
      <c r="C197" s="749"/>
      <c r="D197" s="750" t="s">
        <v>976</v>
      </c>
      <c r="E197" s="751">
        <v>35025</v>
      </c>
      <c r="F197" s="751">
        <v>55992</v>
      </c>
      <c r="G197" s="752"/>
      <c r="H197" s="752"/>
      <c r="I197" s="752">
        <v>55992</v>
      </c>
      <c r="J197" s="752"/>
      <c r="K197" s="752"/>
      <c r="L197" s="752"/>
      <c r="M197" s="752"/>
      <c r="N197" s="752"/>
      <c r="O197" s="752"/>
      <c r="P197" s="752"/>
      <c r="Q197" s="752"/>
      <c r="R197" s="749"/>
      <c r="S197" s="753"/>
    </row>
    <row r="198" spans="1:19" ht="12" customHeight="1">
      <c r="A198" s="747"/>
      <c r="B198" s="748"/>
      <c r="C198" s="749"/>
      <c r="D198" s="754" t="s">
        <v>1032</v>
      </c>
      <c r="E198" s="751">
        <v>37201</v>
      </c>
      <c r="F198" s="751">
        <v>38580</v>
      </c>
      <c r="G198" s="755"/>
      <c r="H198" s="755"/>
      <c r="I198" s="755">
        <v>38580</v>
      </c>
      <c r="J198" s="755"/>
      <c r="K198" s="755"/>
      <c r="L198" s="755"/>
      <c r="M198" s="755"/>
      <c r="N198" s="755"/>
      <c r="O198" s="755"/>
      <c r="P198" s="755"/>
      <c r="Q198" s="755"/>
      <c r="R198" s="749"/>
      <c r="S198" s="753"/>
    </row>
    <row r="199" spans="1:19" ht="12" customHeight="1">
      <c r="A199" s="747" t="s">
        <v>313</v>
      </c>
      <c r="B199" s="748" t="s">
        <v>409</v>
      </c>
      <c r="C199" s="749" t="s">
        <v>410</v>
      </c>
      <c r="D199" s="750" t="s">
        <v>4</v>
      </c>
      <c r="E199" s="751"/>
      <c r="F199" s="751">
        <v>0</v>
      </c>
      <c r="G199" s="755"/>
      <c r="H199" s="755"/>
      <c r="I199" s="755"/>
      <c r="J199" s="755"/>
      <c r="K199" s="755"/>
      <c r="L199" s="755"/>
      <c r="M199" s="755"/>
      <c r="N199" s="755"/>
      <c r="O199" s="755"/>
      <c r="P199" s="755"/>
      <c r="Q199" s="755"/>
      <c r="R199" s="749"/>
      <c r="S199" s="753"/>
    </row>
    <row r="200" spans="1:19" ht="12" customHeight="1">
      <c r="A200" s="747"/>
      <c r="B200" s="748"/>
      <c r="C200" s="749"/>
      <c r="D200" s="750" t="s">
        <v>976</v>
      </c>
      <c r="E200" s="751"/>
      <c r="F200" s="751">
        <v>0</v>
      </c>
      <c r="G200" s="755"/>
      <c r="H200" s="755"/>
      <c r="I200" s="755"/>
      <c r="J200" s="755"/>
      <c r="K200" s="755"/>
      <c r="L200" s="755"/>
      <c r="M200" s="755"/>
      <c r="N200" s="755"/>
      <c r="O200" s="755"/>
      <c r="P200" s="755"/>
      <c r="Q200" s="755"/>
      <c r="R200" s="749"/>
      <c r="S200" s="753"/>
    </row>
    <row r="201" spans="1:19" ht="12" customHeight="1">
      <c r="A201" s="747"/>
      <c r="B201" s="748"/>
      <c r="C201" s="749"/>
      <c r="D201" s="750" t="s">
        <v>1032</v>
      </c>
      <c r="E201" s="751"/>
      <c r="F201" s="751">
        <v>0</v>
      </c>
      <c r="G201" s="755"/>
      <c r="H201" s="755"/>
      <c r="I201" s="755"/>
      <c r="J201" s="755"/>
      <c r="K201" s="755"/>
      <c r="L201" s="755"/>
      <c r="M201" s="755"/>
      <c r="N201" s="755"/>
      <c r="O201" s="755"/>
      <c r="P201" s="755"/>
      <c r="Q201" s="755"/>
      <c r="R201" s="749"/>
      <c r="S201" s="753"/>
    </row>
    <row r="202" spans="1:19" ht="12" customHeight="1">
      <c r="A202" s="747" t="s">
        <v>316</v>
      </c>
      <c r="B202" s="748" t="s">
        <v>409</v>
      </c>
      <c r="C202" s="749" t="s">
        <v>410</v>
      </c>
      <c r="D202" s="750" t="s">
        <v>4</v>
      </c>
      <c r="E202" s="751">
        <v>0</v>
      </c>
      <c r="F202" s="751">
        <v>0</v>
      </c>
      <c r="G202" s="755"/>
      <c r="H202" s="755"/>
      <c r="I202" s="755"/>
      <c r="J202" s="755"/>
      <c r="K202" s="755"/>
      <c r="L202" s="755"/>
      <c r="M202" s="755"/>
      <c r="N202" s="755"/>
      <c r="O202" s="755"/>
      <c r="P202" s="755"/>
      <c r="Q202" s="755"/>
      <c r="R202" s="749"/>
      <c r="S202" s="753"/>
    </row>
    <row r="203" spans="1:19" ht="12" customHeight="1">
      <c r="A203" s="747"/>
      <c r="B203" s="748"/>
      <c r="C203" s="749"/>
      <c r="D203" s="750" t="s">
        <v>976</v>
      </c>
      <c r="E203" s="751"/>
      <c r="F203" s="751">
        <v>0</v>
      </c>
      <c r="G203" s="755"/>
      <c r="H203" s="755"/>
      <c r="I203" s="755"/>
      <c r="J203" s="755"/>
      <c r="K203" s="755"/>
      <c r="L203" s="755"/>
      <c r="M203" s="755"/>
      <c r="N203" s="755"/>
      <c r="O203" s="755"/>
      <c r="P203" s="755"/>
      <c r="Q203" s="755"/>
      <c r="R203" s="749"/>
      <c r="S203" s="753"/>
    </row>
    <row r="204" spans="1:19" ht="12" customHeight="1">
      <c r="A204" s="747"/>
      <c r="B204" s="748"/>
      <c r="C204" s="749"/>
      <c r="D204" s="754" t="s">
        <v>1032</v>
      </c>
      <c r="E204" s="751"/>
      <c r="F204" s="751">
        <v>0</v>
      </c>
      <c r="G204" s="755"/>
      <c r="H204" s="755"/>
      <c r="I204" s="755"/>
      <c r="J204" s="755"/>
      <c r="K204" s="755"/>
      <c r="L204" s="755"/>
      <c r="M204" s="755"/>
      <c r="N204" s="755"/>
      <c r="O204" s="755"/>
      <c r="P204" s="755"/>
      <c r="Q204" s="755"/>
      <c r="R204" s="749"/>
      <c r="S204" s="753"/>
    </row>
    <row r="205" spans="1:19" ht="12" customHeight="1">
      <c r="A205" s="747" t="s">
        <v>316</v>
      </c>
      <c r="B205" s="748" t="s">
        <v>409</v>
      </c>
      <c r="C205" s="749" t="s">
        <v>410</v>
      </c>
      <c r="D205" s="750" t="s">
        <v>4</v>
      </c>
      <c r="E205" s="751"/>
      <c r="F205" s="751">
        <v>0</v>
      </c>
      <c r="G205" s="755"/>
      <c r="H205" s="755"/>
      <c r="I205" s="755"/>
      <c r="J205" s="755"/>
      <c r="K205" s="755"/>
      <c r="L205" s="755"/>
      <c r="M205" s="755"/>
      <c r="N205" s="755"/>
      <c r="O205" s="755"/>
      <c r="P205" s="755"/>
      <c r="Q205" s="755"/>
      <c r="R205" s="749"/>
      <c r="S205" s="753"/>
    </row>
    <row r="206" spans="1:19" ht="12" customHeight="1">
      <c r="A206" s="747"/>
      <c r="B206" s="748"/>
      <c r="C206" s="749"/>
      <c r="D206" s="750" t="s">
        <v>976</v>
      </c>
      <c r="E206" s="751"/>
      <c r="F206" s="751">
        <v>0</v>
      </c>
      <c r="G206" s="755"/>
      <c r="H206" s="755"/>
      <c r="I206" s="755"/>
      <c r="J206" s="755"/>
      <c r="K206" s="755"/>
      <c r="L206" s="755"/>
      <c r="M206" s="755"/>
      <c r="N206" s="755"/>
      <c r="O206" s="755"/>
      <c r="P206" s="755"/>
      <c r="Q206" s="755"/>
      <c r="R206" s="749"/>
      <c r="S206" s="753"/>
    </row>
    <row r="207" spans="1:19" ht="12" customHeight="1">
      <c r="A207" s="747"/>
      <c r="B207" s="748"/>
      <c r="C207" s="749"/>
      <c r="D207" s="750" t="s">
        <v>1032</v>
      </c>
      <c r="E207" s="751"/>
      <c r="F207" s="751">
        <v>0</v>
      </c>
      <c r="G207" s="755"/>
      <c r="H207" s="755"/>
      <c r="I207" s="755"/>
      <c r="J207" s="755"/>
      <c r="K207" s="755"/>
      <c r="L207" s="755"/>
      <c r="M207" s="755"/>
      <c r="N207" s="755"/>
      <c r="O207" s="755"/>
      <c r="P207" s="755"/>
      <c r="Q207" s="755"/>
      <c r="R207" s="749"/>
      <c r="S207" s="753"/>
    </row>
    <row r="208" spans="1:19" ht="12" customHeight="1">
      <c r="A208" s="747" t="s">
        <v>313</v>
      </c>
      <c r="B208" s="748" t="s">
        <v>1009</v>
      </c>
      <c r="C208" s="749" t="s">
        <v>1010</v>
      </c>
      <c r="D208" s="750" t="s">
        <v>4</v>
      </c>
      <c r="E208" s="751"/>
      <c r="F208" s="751">
        <v>0</v>
      </c>
      <c r="G208" s="755"/>
      <c r="H208" s="755"/>
      <c r="I208" s="755"/>
      <c r="J208" s="755"/>
      <c r="K208" s="755"/>
      <c r="L208" s="755"/>
      <c r="M208" s="755"/>
      <c r="N208" s="755"/>
      <c r="O208" s="755"/>
      <c r="P208" s="755"/>
      <c r="Q208" s="755"/>
      <c r="R208" s="749"/>
      <c r="S208" s="753"/>
    </row>
    <row r="209" spans="1:19" ht="12" customHeight="1">
      <c r="A209" s="747"/>
      <c r="B209" s="748"/>
      <c r="C209" s="749"/>
      <c r="D209" s="750" t="s">
        <v>976</v>
      </c>
      <c r="E209" s="751"/>
      <c r="F209" s="751">
        <v>17244</v>
      </c>
      <c r="G209" s="755"/>
      <c r="H209" s="755"/>
      <c r="I209" s="755"/>
      <c r="J209" s="755">
        <v>17244</v>
      </c>
      <c r="K209" s="755"/>
      <c r="L209" s="755"/>
      <c r="M209" s="755"/>
      <c r="N209" s="755"/>
      <c r="O209" s="755"/>
      <c r="P209" s="755"/>
      <c r="Q209" s="755"/>
      <c r="R209" s="749"/>
      <c r="S209" s="753"/>
    </row>
    <row r="210" spans="1:19" ht="12" customHeight="1">
      <c r="A210" s="747"/>
      <c r="B210" s="748"/>
      <c r="C210" s="749"/>
      <c r="D210" s="754" t="s">
        <v>1032</v>
      </c>
      <c r="E210" s="751"/>
      <c r="F210" s="751">
        <v>17244</v>
      </c>
      <c r="G210" s="755"/>
      <c r="H210" s="755"/>
      <c r="I210" s="755"/>
      <c r="J210" s="755">
        <v>17244</v>
      </c>
      <c r="K210" s="755"/>
      <c r="L210" s="755"/>
      <c r="M210" s="755"/>
      <c r="N210" s="755"/>
      <c r="O210" s="755"/>
      <c r="P210" s="755"/>
      <c r="Q210" s="755"/>
      <c r="R210" s="749"/>
      <c r="S210" s="753"/>
    </row>
    <row r="211" spans="1:19" ht="12" customHeight="1">
      <c r="A211" s="747" t="s">
        <v>313</v>
      </c>
      <c r="B211" s="748" t="s">
        <v>1029</v>
      </c>
      <c r="C211" s="749" t="s">
        <v>1011</v>
      </c>
      <c r="D211" s="750" t="s">
        <v>4</v>
      </c>
      <c r="E211" s="751"/>
      <c r="F211" s="751">
        <v>0</v>
      </c>
      <c r="G211" s="755"/>
      <c r="H211" s="755"/>
      <c r="I211" s="755"/>
      <c r="J211" s="755"/>
      <c r="K211" s="755"/>
      <c r="L211" s="755"/>
      <c r="M211" s="755"/>
      <c r="N211" s="755"/>
      <c r="O211" s="755"/>
      <c r="P211" s="755"/>
      <c r="Q211" s="755"/>
      <c r="R211" s="749"/>
      <c r="S211" s="753"/>
    </row>
    <row r="212" spans="1:19" ht="12" customHeight="1">
      <c r="A212" s="747"/>
      <c r="B212" s="748"/>
      <c r="C212" s="749"/>
      <c r="D212" s="750" t="s">
        <v>976</v>
      </c>
      <c r="E212" s="751"/>
      <c r="F212" s="751">
        <v>8491</v>
      </c>
      <c r="G212" s="755"/>
      <c r="H212" s="755"/>
      <c r="I212" s="755"/>
      <c r="J212" s="755">
        <v>8491</v>
      </c>
      <c r="K212" s="755"/>
      <c r="L212" s="755"/>
      <c r="M212" s="755"/>
      <c r="N212" s="755"/>
      <c r="O212" s="755"/>
      <c r="P212" s="755"/>
      <c r="Q212" s="755"/>
      <c r="R212" s="749"/>
      <c r="S212" s="753"/>
    </row>
    <row r="213" spans="1:19" ht="12" customHeight="1">
      <c r="A213" s="747"/>
      <c r="B213" s="748"/>
      <c r="C213" s="749"/>
      <c r="D213" s="750" t="s">
        <v>1032</v>
      </c>
      <c r="E213" s="751"/>
      <c r="F213" s="751">
        <v>8491</v>
      </c>
      <c r="G213" s="755"/>
      <c r="H213" s="755"/>
      <c r="I213" s="755"/>
      <c r="J213" s="755">
        <v>8491</v>
      </c>
      <c r="K213" s="755"/>
      <c r="L213" s="755"/>
      <c r="M213" s="755"/>
      <c r="N213" s="755"/>
      <c r="O213" s="755"/>
      <c r="P213" s="755"/>
      <c r="Q213" s="755"/>
      <c r="R213" s="749"/>
      <c r="S213" s="753"/>
    </row>
    <row r="214" spans="1:19" ht="12" customHeight="1">
      <c r="A214" s="747" t="s">
        <v>313</v>
      </c>
      <c r="B214" s="748" t="s">
        <v>1012</v>
      </c>
      <c r="C214" s="749" t="s">
        <v>1013</v>
      </c>
      <c r="D214" s="750" t="s">
        <v>4</v>
      </c>
      <c r="E214" s="751"/>
      <c r="F214" s="751">
        <v>0</v>
      </c>
      <c r="G214" s="755"/>
      <c r="H214" s="755"/>
      <c r="I214" s="755"/>
      <c r="J214" s="755"/>
      <c r="K214" s="755"/>
      <c r="L214" s="755"/>
      <c r="M214" s="755"/>
      <c r="N214" s="755"/>
      <c r="O214" s="755"/>
      <c r="P214" s="755"/>
      <c r="Q214" s="755"/>
      <c r="R214" s="749"/>
      <c r="S214" s="753"/>
    </row>
    <row r="215" spans="1:19" ht="12" customHeight="1">
      <c r="A215" s="747"/>
      <c r="B215" s="748"/>
      <c r="C215" s="749"/>
      <c r="D215" s="750" t="s">
        <v>976</v>
      </c>
      <c r="E215" s="751"/>
      <c r="F215" s="751">
        <v>3973</v>
      </c>
      <c r="G215" s="755"/>
      <c r="H215" s="755"/>
      <c r="I215" s="755"/>
      <c r="J215" s="755">
        <v>3973</v>
      </c>
      <c r="K215" s="755"/>
      <c r="L215" s="755"/>
      <c r="M215" s="755"/>
      <c r="N215" s="755"/>
      <c r="O215" s="755"/>
      <c r="P215" s="755"/>
      <c r="Q215" s="755"/>
      <c r="R215" s="749"/>
      <c r="S215" s="753"/>
    </row>
    <row r="216" spans="1:19" ht="12" customHeight="1">
      <c r="A216" s="747"/>
      <c r="B216" s="748"/>
      <c r="C216" s="749"/>
      <c r="D216" s="754" t="s">
        <v>1032</v>
      </c>
      <c r="E216" s="751"/>
      <c r="F216" s="751">
        <v>3973</v>
      </c>
      <c r="G216" s="752"/>
      <c r="H216" s="752"/>
      <c r="I216" s="752"/>
      <c r="J216" s="752">
        <v>3973</v>
      </c>
      <c r="K216" s="752"/>
      <c r="L216" s="752"/>
      <c r="M216" s="752"/>
      <c r="N216" s="752"/>
      <c r="O216" s="752"/>
      <c r="P216" s="752"/>
      <c r="Q216" s="752"/>
      <c r="R216" s="749"/>
      <c r="S216" s="753"/>
    </row>
    <row r="217" spans="1:19" ht="12" customHeight="1">
      <c r="A217" s="747" t="s">
        <v>313</v>
      </c>
      <c r="B217" s="748" t="s">
        <v>1014</v>
      </c>
      <c r="C217" s="749" t="s">
        <v>1015</v>
      </c>
      <c r="D217" s="750" t="s">
        <v>4</v>
      </c>
      <c r="E217" s="751"/>
      <c r="F217" s="751">
        <v>0</v>
      </c>
      <c r="G217" s="752"/>
      <c r="H217" s="752"/>
      <c r="I217" s="752"/>
      <c r="J217" s="752"/>
      <c r="K217" s="752"/>
      <c r="L217" s="752"/>
      <c r="M217" s="752"/>
      <c r="N217" s="752"/>
      <c r="O217" s="752"/>
      <c r="P217" s="752"/>
      <c r="Q217" s="752"/>
      <c r="R217" s="749"/>
      <c r="S217" s="753"/>
    </row>
    <row r="218" spans="1:19" ht="12" customHeight="1">
      <c r="A218" s="747"/>
      <c r="B218" s="748"/>
      <c r="C218" s="749"/>
      <c r="D218" s="750" t="s">
        <v>976</v>
      </c>
      <c r="E218" s="751"/>
      <c r="F218" s="751">
        <v>4481</v>
      </c>
      <c r="G218" s="752"/>
      <c r="H218" s="752"/>
      <c r="I218" s="752"/>
      <c r="J218" s="752">
        <v>4481</v>
      </c>
      <c r="K218" s="752"/>
      <c r="L218" s="752"/>
      <c r="M218" s="752"/>
      <c r="N218" s="752"/>
      <c r="O218" s="752"/>
      <c r="P218" s="752"/>
      <c r="Q218" s="752"/>
      <c r="R218" s="749"/>
      <c r="S218" s="753"/>
    </row>
    <row r="219" spans="1:19" ht="12" customHeight="1">
      <c r="A219" s="747"/>
      <c r="B219" s="748"/>
      <c r="C219" s="749"/>
      <c r="D219" s="750" t="s">
        <v>1032</v>
      </c>
      <c r="E219" s="751"/>
      <c r="F219" s="751">
        <v>4481</v>
      </c>
      <c r="G219" s="752"/>
      <c r="H219" s="752"/>
      <c r="I219" s="752"/>
      <c r="J219" s="752">
        <v>4481</v>
      </c>
      <c r="K219" s="752"/>
      <c r="L219" s="752"/>
      <c r="M219" s="752"/>
      <c r="N219" s="752"/>
      <c r="O219" s="752"/>
      <c r="P219" s="752"/>
      <c r="Q219" s="752"/>
      <c r="R219" s="749"/>
      <c r="S219" s="753"/>
    </row>
    <row r="220" spans="1:19" ht="12" customHeight="1">
      <c r="A220" s="747" t="s">
        <v>313</v>
      </c>
      <c r="B220" s="748" t="s">
        <v>1016</v>
      </c>
      <c r="C220" s="749" t="s">
        <v>1017</v>
      </c>
      <c r="D220" s="750" t="s">
        <v>4</v>
      </c>
      <c r="E220" s="751"/>
      <c r="F220" s="751">
        <v>0</v>
      </c>
      <c r="G220" s="752"/>
      <c r="H220" s="752"/>
      <c r="I220" s="752"/>
      <c r="J220" s="752"/>
      <c r="K220" s="752"/>
      <c r="L220" s="752"/>
      <c r="M220" s="752"/>
      <c r="N220" s="752"/>
      <c r="O220" s="752"/>
      <c r="P220" s="752"/>
      <c r="Q220" s="752"/>
      <c r="R220" s="749"/>
      <c r="S220" s="753"/>
    </row>
    <row r="221" spans="1:19" ht="12" customHeight="1">
      <c r="A221" s="747"/>
      <c r="B221" s="748"/>
      <c r="C221" s="749"/>
      <c r="D221" s="750" t="s">
        <v>976</v>
      </c>
      <c r="E221" s="751"/>
      <c r="F221" s="751">
        <v>39615</v>
      </c>
      <c r="G221" s="752"/>
      <c r="H221" s="752"/>
      <c r="I221" s="752"/>
      <c r="J221" s="752">
        <v>37615</v>
      </c>
      <c r="K221" s="752"/>
      <c r="L221" s="752"/>
      <c r="M221" s="752"/>
      <c r="N221" s="752"/>
      <c r="O221" s="752">
        <v>2000</v>
      </c>
      <c r="P221" s="752"/>
      <c r="Q221" s="752"/>
      <c r="R221" s="749"/>
      <c r="S221" s="753"/>
    </row>
    <row r="222" spans="1:19" ht="12" customHeight="1">
      <c r="A222" s="747"/>
      <c r="B222" s="748"/>
      <c r="C222" s="749"/>
      <c r="D222" s="754" t="s">
        <v>1032</v>
      </c>
      <c r="E222" s="751"/>
      <c r="F222" s="751">
        <v>39615</v>
      </c>
      <c r="G222" s="755"/>
      <c r="H222" s="755"/>
      <c r="I222" s="755"/>
      <c r="J222" s="755">
        <v>37615</v>
      </c>
      <c r="K222" s="755"/>
      <c r="L222" s="755"/>
      <c r="M222" s="755"/>
      <c r="N222" s="755"/>
      <c r="O222" s="755">
        <v>2000</v>
      </c>
      <c r="P222" s="755"/>
      <c r="Q222" s="755"/>
      <c r="R222" s="749"/>
      <c r="S222" s="753"/>
    </row>
    <row r="223" spans="1:19" ht="12" customHeight="1">
      <c r="A223" s="747" t="s">
        <v>313</v>
      </c>
      <c r="B223" s="748" t="s">
        <v>411</v>
      </c>
      <c r="C223" s="749" t="s">
        <v>412</v>
      </c>
      <c r="D223" s="750" t="s">
        <v>4</v>
      </c>
      <c r="E223" s="751"/>
      <c r="F223" s="751">
        <v>39974</v>
      </c>
      <c r="G223" s="755"/>
      <c r="H223" s="755"/>
      <c r="I223" s="755"/>
      <c r="J223" s="755"/>
      <c r="K223" s="755">
        <v>39974</v>
      </c>
      <c r="L223" s="755"/>
      <c r="M223" s="755"/>
      <c r="N223" s="755"/>
      <c r="O223" s="757"/>
      <c r="P223" s="755"/>
      <c r="Q223" s="755"/>
      <c r="R223" s="749"/>
      <c r="S223" s="753"/>
    </row>
    <row r="224" spans="1:19" ht="12" customHeight="1">
      <c r="A224" s="747"/>
      <c r="B224" s="748"/>
      <c r="C224" s="749"/>
      <c r="D224" s="750" t="s">
        <v>976</v>
      </c>
      <c r="E224" s="751">
        <v>128</v>
      </c>
      <c r="F224" s="751">
        <v>29754</v>
      </c>
      <c r="G224" s="755"/>
      <c r="H224" s="755"/>
      <c r="I224" s="755">
        <v>27</v>
      </c>
      <c r="J224" s="755">
        <v>26</v>
      </c>
      <c r="K224" s="755">
        <v>29701</v>
      </c>
      <c r="L224" s="755"/>
      <c r="M224" s="755"/>
      <c r="N224" s="755"/>
      <c r="O224" s="757"/>
      <c r="P224" s="755"/>
      <c r="Q224" s="755"/>
      <c r="R224" s="749"/>
      <c r="S224" s="753"/>
    </row>
    <row r="225" spans="1:19" ht="12" customHeight="1">
      <c r="A225" s="747"/>
      <c r="B225" s="748"/>
      <c r="C225" s="749"/>
      <c r="D225" s="750" t="s">
        <v>1032</v>
      </c>
      <c r="E225" s="751">
        <v>128</v>
      </c>
      <c r="F225" s="751">
        <v>55725</v>
      </c>
      <c r="G225" s="755"/>
      <c r="H225" s="755"/>
      <c r="I225" s="755">
        <v>0</v>
      </c>
      <c r="J225" s="755">
        <v>25</v>
      </c>
      <c r="K225" s="755">
        <v>55700</v>
      </c>
      <c r="L225" s="755"/>
      <c r="M225" s="755"/>
      <c r="N225" s="755"/>
      <c r="O225" s="757"/>
      <c r="P225" s="755"/>
      <c r="Q225" s="755"/>
      <c r="R225" s="749"/>
      <c r="S225" s="753"/>
    </row>
    <row r="226" spans="1:19" ht="12" customHeight="1">
      <c r="A226" s="747" t="s">
        <v>316</v>
      </c>
      <c r="B226" s="748" t="s">
        <v>411</v>
      </c>
      <c r="C226" s="749" t="s">
        <v>412</v>
      </c>
      <c r="D226" s="750" t="s">
        <v>4</v>
      </c>
      <c r="E226" s="751"/>
      <c r="F226" s="751">
        <v>0</v>
      </c>
      <c r="G226" s="755"/>
      <c r="H226" s="755"/>
      <c r="I226" s="755"/>
      <c r="J226" s="755"/>
      <c r="K226" s="755"/>
      <c r="L226" s="755"/>
      <c r="M226" s="755"/>
      <c r="N226" s="755"/>
      <c r="O226" s="757"/>
      <c r="P226" s="755"/>
      <c r="Q226" s="755"/>
      <c r="R226" s="749"/>
      <c r="S226" s="753"/>
    </row>
    <row r="227" spans="1:19" ht="12" customHeight="1">
      <c r="A227" s="747"/>
      <c r="B227" s="748"/>
      <c r="C227" s="749"/>
      <c r="D227" s="750" t="s">
        <v>976</v>
      </c>
      <c r="E227" s="751"/>
      <c r="F227" s="751">
        <v>0</v>
      </c>
      <c r="G227" s="755"/>
      <c r="H227" s="755"/>
      <c r="I227" s="755"/>
      <c r="J227" s="755"/>
      <c r="K227" s="755"/>
      <c r="L227" s="755"/>
      <c r="M227" s="755"/>
      <c r="N227" s="755"/>
      <c r="O227" s="757"/>
      <c r="P227" s="755"/>
      <c r="Q227" s="755"/>
      <c r="R227" s="749"/>
      <c r="S227" s="753"/>
    </row>
    <row r="228" spans="1:19" ht="12" customHeight="1">
      <c r="A228" s="747"/>
      <c r="B228" s="748"/>
      <c r="C228" s="749"/>
      <c r="D228" s="754" t="s">
        <v>1032</v>
      </c>
      <c r="E228" s="751"/>
      <c r="F228" s="751">
        <v>0</v>
      </c>
      <c r="G228" s="755"/>
      <c r="H228" s="755"/>
      <c r="I228" s="755"/>
      <c r="J228" s="755"/>
      <c r="K228" s="755"/>
      <c r="L228" s="755"/>
      <c r="M228" s="755"/>
      <c r="N228" s="755"/>
      <c r="O228" s="757"/>
      <c r="P228" s="755"/>
      <c r="Q228" s="755"/>
      <c r="R228" s="749"/>
      <c r="S228" s="753"/>
    </row>
    <row r="229" spans="1:19" ht="12" customHeight="1">
      <c r="A229" s="747" t="s">
        <v>316</v>
      </c>
      <c r="B229" s="748" t="s">
        <v>411</v>
      </c>
      <c r="C229" s="749" t="s">
        <v>412</v>
      </c>
      <c r="D229" s="750" t="s">
        <v>4</v>
      </c>
      <c r="E229" s="751"/>
      <c r="F229" s="751">
        <v>0</v>
      </c>
      <c r="G229" s="755"/>
      <c r="H229" s="755"/>
      <c r="I229" s="755"/>
      <c r="J229" s="755"/>
      <c r="K229" s="755"/>
      <c r="L229" s="755"/>
      <c r="M229" s="755"/>
      <c r="N229" s="755"/>
      <c r="O229" s="757"/>
      <c r="P229" s="755"/>
      <c r="Q229" s="755"/>
      <c r="R229" s="749"/>
      <c r="S229" s="753"/>
    </row>
    <row r="230" spans="1:19" ht="12" customHeight="1">
      <c r="A230" s="747"/>
      <c r="B230" s="748"/>
      <c r="C230" s="749"/>
      <c r="D230" s="750" t="s">
        <v>976</v>
      </c>
      <c r="E230" s="751"/>
      <c r="F230" s="751">
        <v>0</v>
      </c>
      <c r="G230" s="755"/>
      <c r="H230" s="755"/>
      <c r="I230" s="755"/>
      <c r="J230" s="755"/>
      <c r="K230" s="755"/>
      <c r="L230" s="755"/>
      <c r="M230" s="755"/>
      <c r="N230" s="755"/>
      <c r="O230" s="757"/>
      <c r="P230" s="755"/>
      <c r="Q230" s="755"/>
      <c r="R230" s="749"/>
      <c r="S230" s="753"/>
    </row>
    <row r="231" spans="1:19" ht="12" customHeight="1">
      <c r="A231" s="747"/>
      <c r="B231" s="748"/>
      <c r="C231" s="749"/>
      <c r="D231" s="750" t="s">
        <v>1032</v>
      </c>
      <c r="E231" s="751"/>
      <c r="F231" s="751">
        <v>0</v>
      </c>
      <c r="G231" s="755"/>
      <c r="H231" s="755"/>
      <c r="I231" s="755"/>
      <c r="J231" s="755"/>
      <c r="K231" s="755"/>
      <c r="L231" s="755"/>
      <c r="M231" s="755"/>
      <c r="N231" s="755"/>
      <c r="O231" s="757"/>
      <c r="P231" s="755"/>
      <c r="Q231" s="755"/>
      <c r="R231" s="749"/>
      <c r="S231" s="753"/>
    </row>
    <row r="232" spans="1:19" ht="12" customHeight="1">
      <c r="A232" s="747" t="s">
        <v>313</v>
      </c>
      <c r="B232" s="748" t="s">
        <v>411</v>
      </c>
      <c r="C232" s="749" t="s">
        <v>412</v>
      </c>
      <c r="D232" s="750" t="s">
        <v>4</v>
      </c>
      <c r="E232" s="751"/>
      <c r="F232" s="751">
        <v>0</v>
      </c>
      <c r="G232" s="755"/>
      <c r="H232" s="755"/>
      <c r="I232" s="755"/>
      <c r="J232" s="755"/>
      <c r="K232" s="755"/>
      <c r="L232" s="755"/>
      <c r="M232" s="755"/>
      <c r="N232" s="755"/>
      <c r="O232" s="757"/>
      <c r="P232" s="755"/>
      <c r="Q232" s="755"/>
      <c r="R232" s="749"/>
      <c r="S232" s="753"/>
    </row>
    <row r="233" spans="1:19" ht="12" customHeight="1">
      <c r="A233" s="747"/>
      <c r="B233" s="748"/>
      <c r="C233" s="749"/>
      <c r="D233" s="750" t="s">
        <v>976</v>
      </c>
      <c r="E233" s="751"/>
      <c r="F233" s="751">
        <v>0</v>
      </c>
      <c r="G233" s="755"/>
      <c r="H233" s="755"/>
      <c r="I233" s="755"/>
      <c r="J233" s="755"/>
      <c r="K233" s="755"/>
      <c r="L233" s="755"/>
      <c r="M233" s="755"/>
      <c r="N233" s="755"/>
      <c r="O233" s="757"/>
      <c r="P233" s="755"/>
      <c r="Q233" s="755"/>
      <c r="R233" s="749"/>
      <c r="S233" s="753"/>
    </row>
    <row r="234" spans="1:19" ht="12" customHeight="1">
      <c r="A234" s="747"/>
      <c r="B234" s="748"/>
      <c r="C234" s="749"/>
      <c r="D234" s="754" t="s">
        <v>1032</v>
      </c>
      <c r="E234" s="751"/>
      <c r="F234" s="751">
        <v>0</v>
      </c>
      <c r="G234" s="755"/>
      <c r="H234" s="755"/>
      <c r="I234" s="755"/>
      <c r="J234" s="755"/>
      <c r="K234" s="755"/>
      <c r="L234" s="755"/>
      <c r="M234" s="755"/>
      <c r="N234" s="755"/>
      <c r="O234" s="755"/>
      <c r="P234" s="755"/>
      <c r="Q234" s="755"/>
      <c r="R234" s="749"/>
      <c r="S234" s="753"/>
    </row>
    <row r="235" spans="1:19" ht="12" customHeight="1">
      <c r="A235" s="747" t="s">
        <v>313</v>
      </c>
      <c r="B235" s="748" t="s">
        <v>1271</v>
      </c>
      <c r="C235" s="749" t="s">
        <v>1272</v>
      </c>
      <c r="D235" s="750" t="s">
        <v>4</v>
      </c>
      <c r="E235" s="751"/>
      <c r="F235" s="751">
        <v>0</v>
      </c>
      <c r="G235" s="755"/>
      <c r="H235" s="755"/>
      <c r="I235" s="755"/>
      <c r="J235" s="755"/>
      <c r="K235" s="755"/>
      <c r="L235" s="755"/>
      <c r="M235" s="755"/>
      <c r="N235" s="755"/>
      <c r="O235" s="755"/>
      <c r="P235" s="755"/>
      <c r="Q235" s="755"/>
      <c r="R235" s="749"/>
      <c r="S235" s="753"/>
    </row>
    <row r="236" spans="1:19" ht="12" customHeight="1">
      <c r="A236" s="747"/>
      <c r="B236" s="748"/>
      <c r="C236" s="749"/>
      <c r="D236" s="750" t="s">
        <v>976</v>
      </c>
      <c r="E236" s="751"/>
      <c r="F236" s="751">
        <v>0</v>
      </c>
      <c r="G236" s="755"/>
      <c r="H236" s="755"/>
      <c r="I236" s="755"/>
      <c r="J236" s="755"/>
      <c r="K236" s="755"/>
      <c r="L236" s="755"/>
      <c r="M236" s="755"/>
      <c r="N236" s="755"/>
      <c r="O236" s="755"/>
      <c r="P236" s="755"/>
      <c r="Q236" s="755"/>
      <c r="R236" s="749"/>
      <c r="S236" s="753"/>
    </row>
    <row r="237" spans="1:19" ht="12" customHeight="1">
      <c r="A237" s="747"/>
      <c r="B237" s="748"/>
      <c r="C237" s="749"/>
      <c r="D237" s="750" t="s">
        <v>1032</v>
      </c>
      <c r="E237" s="751">
        <v>3415</v>
      </c>
      <c r="F237" s="751">
        <v>0</v>
      </c>
      <c r="G237" s="755"/>
      <c r="H237" s="755"/>
      <c r="I237" s="755"/>
      <c r="J237" s="755"/>
      <c r="K237" s="755"/>
      <c r="L237" s="755"/>
      <c r="M237" s="755"/>
      <c r="N237" s="755"/>
      <c r="O237" s="755"/>
      <c r="P237" s="755"/>
      <c r="Q237" s="755"/>
      <c r="R237" s="749"/>
      <c r="S237" s="753"/>
    </row>
    <row r="238" spans="1:19" ht="12" customHeight="1">
      <c r="A238" s="747" t="s">
        <v>313</v>
      </c>
      <c r="B238" s="748" t="s">
        <v>1273</v>
      </c>
      <c r="C238" s="749" t="s">
        <v>1274</v>
      </c>
      <c r="D238" s="750" t="s">
        <v>4</v>
      </c>
      <c r="E238" s="751"/>
      <c r="F238" s="751">
        <v>0</v>
      </c>
      <c r="G238" s="755"/>
      <c r="H238" s="755"/>
      <c r="I238" s="755"/>
      <c r="J238" s="755"/>
      <c r="K238" s="755"/>
      <c r="L238" s="755"/>
      <c r="M238" s="755"/>
      <c r="N238" s="755"/>
      <c r="O238" s="755"/>
      <c r="P238" s="755"/>
      <c r="Q238" s="755"/>
      <c r="R238" s="749"/>
      <c r="S238" s="753"/>
    </row>
    <row r="239" spans="1:19" ht="12" customHeight="1">
      <c r="A239" s="747"/>
      <c r="B239" s="748"/>
      <c r="C239" s="749"/>
      <c r="D239" s="750" t="s">
        <v>976</v>
      </c>
      <c r="E239" s="751"/>
      <c r="F239" s="751">
        <v>0</v>
      </c>
      <c r="G239" s="755"/>
      <c r="H239" s="755"/>
      <c r="I239" s="755"/>
      <c r="J239" s="755"/>
      <c r="K239" s="755"/>
      <c r="L239" s="755"/>
      <c r="M239" s="755"/>
      <c r="N239" s="755"/>
      <c r="O239" s="755"/>
      <c r="P239" s="755"/>
      <c r="Q239" s="755"/>
      <c r="R239" s="749"/>
      <c r="S239" s="753"/>
    </row>
    <row r="240" spans="1:19" ht="12" customHeight="1">
      <c r="A240" s="747"/>
      <c r="B240" s="748"/>
      <c r="C240" s="749"/>
      <c r="D240" s="754" t="s">
        <v>1032</v>
      </c>
      <c r="E240" s="751">
        <v>2052723</v>
      </c>
      <c r="F240" s="751">
        <v>0</v>
      </c>
      <c r="G240" s="998"/>
      <c r="H240" s="755"/>
      <c r="I240" s="755"/>
      <c r="J240" s="755"/>
      <c r="K240" s="755"/>
      <c r="L240" s="755"/>
      <c r="M240" s="755"/>
      <c r="N240" s="755"/>
      <c r="O240" s="757"/>
      <c r="P240" s="755"/>
      <c r="Q240" s="755"/>
      <c r="R240" s="749"/>
      <c r="S240" s="753"/>
    </row>
    <row r="241" spans="1:19" ht="12" customHeight="1">
      <c r="A241" s="747" t="s">
        <v>309</v>
      </c>
      <c r="B241" s="748" t="s">
        <v>413</v>
      </c>
      <c r="C241" s="749" t="s">
        <v>414</v>
      </c>
      <c r="D241" s="750" t="s">
        <v>4</v>
      </c>
      <c r="E241" s="751">
        <v>709262</v>
      </c>
      <c r="F241" s="751">
        <v>25339</v>
      </c>
      <c r="G241" s="755"/>
      <c r="H241" s="755"/>
      <c r="I241" s="755">
        <v>25339</v>
      </c>
      <c r="J241" s="755"/>
      <c r="K241" s="755"/>
      <c r="L241" s="755"/>
      <c r="M241" s="755"/>
      <c r="N241" s="755"/>
      <c r="O241" s="757"/>
      <c r="P241" s="755"/>
      <c r="Q241" s="755"/>
      <c r="R241" s="749"/>
      <c r="S241" s="753"/>
    </row>
    <row r="242" spans="1:19" ht="12" customHeight="1">
      <c r="A242" s="747"/>
      <c r="B242" s="748"/>
      <c r="C242" s="749"/>
      <c r="D242" s="750" t="s">
        <v>976</v>
      </c>
      <c r="E242" s="751">
        <v>3017645</v>
      </c>
      <c r="F242" s="751">
        <v>2431013</v>
      </c>
      <c r="G242" s="755"/>
      <c r="H242" s="755"/>
      <c r="I242" s="755">
        <v>12697</v>
      </c>
      <c r="J242" s="755"/>
      <c r="K242" s="755"/>
      <c r="L242" s="755"/>
      <c r="M242" s="755"/>
      <c r="N242" s="755"/>
      <c r="O242" s="757"/>
      <c r="P242" s="755"/>
      <c r="Q242" s="755">
        <v>918316</v>
      </c>
      <c r="R242" s="749"/>
      <c r="S242" s="760">
        <v>1500000</v>
      </c>
    </row>
    <row r="243" spans="1:19" ht="12" customHeight="1">
      <c r="A243" s="747"/>
      <c r="B243" s="748"/>
      <c r="C243" s="749"/>
      <c r="D243" s="750" t="s">
        <v>1032</v>
      </c>
      <c r="E243" s="751">
        <v>2977535</v>
      </c>
      <c r="F243" s="751">
        <v>2429944</v>
      </c>
      <c r="G243" s="755"/>
      <c r="H243" s="755"/>
      <c r="I243" s="755">
        <v>11629</v>
      </c>
      <c r="J243" s="755"/>
      <c r="K243" s="755"/>
      <c r="L243" s="755"/>
      <c r="M243" s="755"/>
      <c r="N243" s="755"/>
      <c r="O243" s="757"/>
      <c r="P243" s="755"/>
      <c r="Q243" s="755">
        <v>918315</v>
      </c>
      <c r="R243" s="749"/>
      <c r="S243" s="760">
        <v>1500000</v>
      </c>
    </row>
    <row r="244" spans="1:19" ht="12" customHeight="1">
      <c r="A244" s="747" t="s">
        <v>309</v>
      </c>
      <c r="B244" s="748" t="s">
        <v>415</v>
      </c>
      <c r="C244" s="749" t="s">
        <v>416</v>
      </c>
      <c r="D244" s="750" t="s">
        <v>4</v>
      </c>
      <c r="E244" s="751"/>
      <c r="F244" s="751">
        <v>15000</v>
      </c>
      <c r="G244" s="755"/>
      <c r="H244" s="755"/>
      <c r="I244" s="755"/>
      <c r="J244" s="755"/>
      <c r="K244" s="755"/>
      <c r="L244" s="755">
        <v>15000</v>
      </c>
      <c r="M244" s="755"/>
      <c r="N244" s="755"/>
      <c r="O244" s="757"/>
      <c r="P244" s="755"/>
      <c r="Q244" s="755"/>
      <c r="R244" s="749"/>
      <c r="S244" s="753"/>
    </row>
    <row r="245" spans="1:19" ht="12" customHeight="1">
      <c r="A245" s="747"/>
      <c r="B245" s="748"/>
      <c r="C245" s="749"/>
      <c r="D245" s="750" t="s">
        <v>976</v>
      </c>
      <c r="E245" s="751"/>
      <c r="F245" s="751">
        <v>0</v>
      </c>
      <c r="G245" s="755"/>
      <c r="H245" s="755"/>
      <c r="I245" s="755"/>
      <c r="J245" s="755"/>
      <c r="K245" s="755"/>
      <c r="L245" s="755">
        <v>0</v>
      </c>
      <c r="M245" s="755"/>
      <c r="N245" s="755"/>
      <c r="O245" s="757"/>
      <c r="P245" s="755"/>
      <c r="Q245" s="755"/>
      <c r="R245" s="749"/>
      <c r="S245" s="753"/>
    </row>
    <row r="246" spans="1:19" ht="12" customHeight="1">
      <c r="A246" s="747"/>
      <c r="B246" s="748"/>
      <c r="C246" s="749"/>
      <c r="D246" s="754" t="s">
        <v>1032</v>
      </c>
      <c r="E246" s="751"/>
      <c r="F246" s="751">
        <v>0</v>
      </c>
      <c r="G246" s="755"/>
      <c r="H246" s="755"/>
      <c r="I246" s="755"/>
      <c r="J246" s="755"/>
      <c r="K246" s="755"/>
      <c r="L246" s="755">
        <v>0</v>
      </c>
      <c r="M246" s="755"/>
      <c r="N246" s="755"/>
      <c r="O246" s="755"/>
      <c r="P246" s="755"/>
      <c r="Q246" s="755"/>
      <c r="R246" s="749"/>
      <c r="S246" s="753"/>
    </row>
    <row r="247" spans="1:19" ht="12" customHeight="1">
      <c r="A247" s="747" t="s">
        <v>309</v>
      </c>
      <c r="B247" s="748" t="s">
        <v>415</v>
      </c>
      <c r="C247" s="756" t="s">
        <v>443</v>
      </c>
      <c r="D247" s="750" t="s">
        <v>4</v>
      </c>
      <c r="E247" s="751"/>
      <c r="F247" s="751">
        <v>425917</v>
      </c>
      <c r="G247" s="755"/>
      <c r="H247" s="755"/>
      <c r="I247" s="755"/>
      <c r="J247" s="755"/>
      <c r="K247" s="755"/>
      <c r="L247" s="755">
        <v>178800</v>
      </c>
      <c r="M247" s="755"/>
      <c r="N247" s="755"/>
      <c r="O247" s="755"/>
      <c r="P247" s="755">
        <v>247117</v>
      </c>
      <c r="Q247" s="755"/>
      <c r="R247" s="749"/>
      <c r="S247" s="753"/>
    </row>
    <row r="248" spans="1:19" ht="12" customHeight="1">
      <c r="A248" s="747"/>
      <c r="B248" s="748"/>
      <c r="C248" s="749"/>
      <c r="D248" s="750" t="s">
        <v>976</v>
      </c>
      <c r="E248" s="751"/>
      <c r="F248" s="751">
        <v>0</v>
      </c>
      <c r="G248" s="755"/>
      <c r="H248" s="755"/>
      <c r="I248" s="755"/>
      <c r="J248" s="755"/>
      <c r="K248" s="755"/>
      <c r="L248" s="755"/>
      <c r="M248" s="755"/>
      <c r="N248" s="755"/>
      <c r="O248" s="755"/>
      <c r="P248" s="755"/>
      <c r="Q248" s="755"/>
      <c r="R248" s="749"/>
      <c r="S248" s="753"/>
    </row>
    <row r="249" spans="1:19" ht="12" customHeight="1">
      <c r="A249" s="747"/>
      <c r="B249" s="748"/>
      <c r="C249" s="749"/>
      <c r="D249" s="750" t="s">
        <v>1032</v>
      </c>
      <c r="E249" s="751"/>
      <c r="F249" s="751">
        <v>0</v>
      </c>
      <c r="G249" s="755"/>
      <c r="H249" s="755"/>
      <c r="I249" s="755"/>
      <c r="J249" s="755"/>
      <c r="K249" s="755"/>
      <c r="L249" s="755">
        <v>0</v>
      </c>
      <c r="M249" s="755"/>
      <c r="N249" s="755"/>
      <c r="O249" s="755"/>
      <c r="P249" s="755">
        <v>0</v>
      </c>
      <c r="Q249" s="755"/>
      <c r="R249" s="749"/>
      <c r="S249" s="753"/>
    </row>
    <row r="250" spans="1:19" ht="12" customHeight="1">
      <c r="A250" s="747" t="s">
        <v>309</v>
      </c>
      <c r="B250" s="748" t="s">
        <v>311</v>
      </c>
      <c r="C250" s="749" t="s">
        <v>647</v>
      </c>
      <c r="D250" s="750" t="s">
        <v>4</v>
      </c>
      <c r="E250" s="751"/>
      <c r="F250" s="751">
        <v>0</v>
      </c>
      <c r="G250" s="755"/>
      <c r="H250" s="755"/>
      <c r="I250" s="755"/>
      <c r="J250" s="755"/>
      <c r="K250" s="755"/>
      <c r="L250" s="755"/>
      <c r="M250" s="755"/>
      <c r="N250" s="755"/>
      <c r="O250" s="755"/>
      <c r="P250" s="755"/>
      <c r="Q250" s="755"/>
      <c r="R250" s="749"/>
      <c r="S250" s="753"/>
    </row>
    <row r="251" spans="1:19" ht="12" customHeight="1">
      <c r="A251" s="747"/>
      <c r="B251" s="748"/>
      <c r="C251" s="749"/>
      <c r="D251" s="750" t="s">
        <v>1030</v>
      </c>
      <c r="E251" s="751"/>
      <c r="F251" s="751">
        <v>3211</v>
      </c>
      <c r="G251" s="755"/>
      <c r="H251" s="755"/>
      <c r="I251" s="755"/>
      <c r="J251" s="755"/>
      <c r="K251" s="755"/>
      <c r="L251" s="755">
        <v>3211</v>
      </c>
      <c r="M251" s="755"/>
      <c r="N251" s="755"/>
      <c r="O251" s="755"/>
      <c r="P251" s="755"/>
      <c r="Q251" s="755"/>
      <c r="R251" s="749"/>
      <c r="S251" s="753"/>
    </row>
    <row r="252" spans="1:19" ht="12" customHeight="1">
      <c r="A252" s="747"/>
      <c r="B252" s="748"/>
      <c r="C252" s="749"/>
      <c r="D252" s="754" t="s">
        <v>1032</v>
      </c>
      <c r="E252" s="751"/>
      <c r="F252" s="751">
        <v>0</v>
      </c>
      <c r="G252" s="752"/>
      <c r="H252" s="752"/>
      <c r="I252" s="752"/>
      <c r="J252" s="752"/>
      <c r="K252" s="751"/>
      <c r="L252" s="751">
        <v>0</v>
      </c>
      <c r="M252" s="752"/>
      <c r="N252" s="752"/>
      <c r="O252" s="752"/>
      <c r="P252" s="752"/>
      <c r="Q252" s="752"/>
      <c r="R252" s="749"/>
      <c r="S252" s="753"/>
    </row>
    <row r="253" spans="1:19" ht="12" customHeight="1">
      <c r="A253" s="747" t="s">
        <v>309</v>
      </c>
      <c r="B253" s="748" t="s">
        <v>311</v>
      </c>
      <c r="C253" s="749" t="s">
        <v>1031</v>
      </c>
      <c r="D253" s="750" t="s">
        <v>4</v>
      </c>
      <c r="E253" s="751"/>
      <c r="F253" s="751">
        <v>0</v>
      </c>
      <c r="G253" s="752"/>
      <c r="H253" s="752"/>
      <c r="I253" s="752"/>
      <c r="J253" s="752"/>
      <c r="K253" s="751"/>
      <c r="L253" s="751"/>
      <c r="M253" s="752"/>
      <c r="N253" s="752"/>
      <c r="O253" s="752"/>
      <c r="P253" s="752"/>
      <c r="Q253" s="752"/>
      <c r="R253" s="749"/>
      <c r="S253" s="753"/>
    </row>
    <row r="254" spans="1:19" ht="12" customHeight="1">
      <c r="A254" s="747"/>
      <c r="B254" s="748"/>
      <c r="C254" s="749"/>
      <c r="D254" s="750" t="s">
        <v>976</v>
      </c>
      <c r="E254" s="751"/>
      <c r="F254" s="751">
        <v>957</v>
      </c>
      <c r="G254" s="752"/>
      <c r="H254" s="752"/>
      <c r="I254" s="752"/>
      <c r="J254" s="752"/>
      <c r="K254" s="751"/>
      <c r="L254" s="751">
        <v>957</v>
      </c>
      <c r="M254" s="752"/>
      <c r="N254" s="752"/>
      <c r="O254" s="752"/>
      <c r="P254" s="752"/>
      <c r="Q254" s="752"/>
      <c r="R254" s="749"/>
      <c r="S254" s="753"/>
    </row>
    <row r="255" spans="1:19" ht="12" customHeight="1">
      <c r="A255" s="747"/>
      <c r="B255" s="748"/>
      <c r="C255" s="749"/>
      <c r="D255" s="750" t="s">
        <v>1032</v>
      </c>
      <c r="E255" s="751"/>
      <c r="F255" s="751">
        <v>0</v>
      </c>
      <c r="G255" s="752"/>
      <c r="H255" s="752"/>
      <c r="I255" s="752"/>
      <c r="J255" s="752"/>
      <c r="K255" s="751"/>
      <c r="L255" s="751">
        <v>0</v>
      </c>
      <c r="M255" s="752"/>
      <c r="N255" s="752"/>
      <c r="O255" s="752"/>
      <c r="P255" s="752"/>
      <c r="Q255" s="752"/>
      <c r="R255" s="749"/>
      <c r="S255" s="753"/>
    </row>
    <row r="256" spans="1:19" ht="12" customHeight="1">
      <c r="A256" s="747"/>
      <c r="B256" s="780" t="s">
        <v>272</v>
      </c>
      <c r="C256" s="781"/>
      <c r="D256" s="750" t="s">
        <v>4</v>
      </c>
      <c r="E256" s="751">
        <v>6924047</v>
      </c>
      <c r="F256" s="751">
        <v>6924047</v>
      </c>
      <c r="G256" s="752">
        <v>221020</v>
      </c>
      <c r="H256" s="752">
        <v>50693</v>
      </c>
      <c r="I256" s="752">
        <v>974880</v>
      </c>
      <c r="J256" s="752">
        <v>873528</v>
      </c>
      <c r="K256" s="751">
        <v>45474</v>
      </c>
      <c r="L256" s="751">
        <v>193800</v>
      </c>
      <c r="M256" s="752">
        <v>234263</v>
      </c>
      <c r="N256" s="752">
        <v>2192246</v>
      </c>
      <c r="O256" s="752">
        <v>193590</v>
      </c>
      <c r="P256" s="752">
        <v>247117</v>
      </c>
      <c r="Q256" s="752">
        <v>41220</v>
      </c>
      <c r="R256" s="752">
        <v>1656216</v>
      </c>
      <c r="S256" s="753">
        <v>0</v>
      </c>
    </row>
    <row r="257" spans="1:19" ht="12" customHeight="1">
      <c r="A257" s="747"/>
      <c r="B257" s="748"/>
      <c r="C257" s="749"/>
      <c r="D257" s="750" t="s">
        <v>976</v>
      </c>
      <c r="E257" s="751">
        <v>8772845</v>
      </c>
      <c r="F257" s="751">
        <v>8772845</v>
      </c>
      <c r="G257" s="752">
        <v>206785</v>
      </c>
      <c r="H257" s="752">
        <v>51872</v>
      </c>
      <c r="I257" s="752">
        <v>1285945</v>
      </c>
      <c r="J257" s="752">
        <v>963909</v>
      </c>
      <c r="K257" s="751">
        <v>65147</v>
      </c>
      <c r="L257" s="751">
        <v>4168</v>
      </c>
      <c r="M257" s="752">
        <v>172570</v>
      </c>
      <c r="N257" s="752">
        <v>1712165</v>
      </c>
      <c r="O257" s="752">
        <v>249946</v>
      </c>
      <c r="P257" s="752">
        <v>0</v>
      </c>
      <c r="Q257" s="752">
        <v>953447</v>
      </c>
      <c r="R257" s="752">
        <v>1606891</v>
      </c>
      <c r="S257" s="760">
        <v>1500000</v>
      </c>
    </row>
    <row r="258" spans="1:19" ht="12" customHeight="1">
      <c r="A258" s="747"/>
      <c r="B258" s="758"/>
      <c r="C258" s="759"/>
      <c r="D258" s="754" t="s">
        <v>1032</v>
      </c>
      <c r="E258" s="751">
        <v>8605115</v>
      </c>
      <c r="F258" s="751">
        <v>8421253</v>
      </c>
      <c r="G258" s="755">
        <v>189672</v>
      </c>
      <c r="H258" s="755">
        <v>46814</v>
      </c>
      <c r="I258" s="755">
        <v>1132249</v>
      </c>
      <c r="J258" s="755">
        <v>944829</v>
      </c>
      <c r="K258" s="755">
        <v>58046</v>
      </c>
      <c r="L258" s="755">
        <v>0</v>
      </c>
      <c r="M258" s="755">
        <v>135727</v>
      </c>
      <c r="N258" s="755">
        <v>1668262</v>
      </c>
      <c r="O258" s="755">
        <v>211053</v>
      </c>
      <c r="P258" s="755">
        <v>0</v>
      </c>
      <c r="Q258" s="755">
        <v>953446</v>
      </c>
      <c r="R258" s="752">
        <v>1581155</v>
      </c>
      <c r="S258" s="760">
        <v>1500000</v>
      </c>
    </row>
    <row r="259" spans="1:19" ht="12" customHeight="1">
      <c r="A259" s="747"/>
      <c r="B259" s="758"/>
      <c r="C259" s="759"/>
      <c r="D259" s="750"/>
      <c r="E259" s="751"/>
      <c r="F259" s="751"/>
      <c r="G259" s="755"/>
      <c r="H259" s="755"/>
      <c r="I259" s="755"/>
      <c r="J259" s="755"/>
      <c r="K259" s="755"/>
      <c r="L259" s="755"/>
      <c r="M259" s="755"/>
      <c r="N259" s="755"/>
      <c r="O259" s="755"/>
      <c r="P259" s="755"/>
      <c r="Q259" s="755"/>
      <c r="R259" s="749"/>
      <c r="S259" s="753"/>
    </row>
    <row r="260" spans="1:19" ht="12" customHeight="1">
      <c r="A260" s="747"/>
      <c r="B260" s="782" t="s">
        <v>203</v>
      </c>
      <c r="C260" s="783"/>
      <c r="D260" s="750" t="s">
        <v>4</v>
      </c>
      <c r="E260" s="751">
        <v>4732402</v>
      </c>
      <c r="F260" s="751">
        <v>3877540</v>
      </c>
      <c r="G260" s="755">
        <v>136525</v>
      </c>
      <c r="H260" s="755">
        <v>18955</v>
      </c>
      <c r="I260" s="755">
        <v>861347</v>
      </c>
      <c r="J260" s="755">
        <v>260527</v>
      </c>
      <c r="K260" s="755">
        <v>39974</v>
      </c>
      <c r="L260" s="755">
        <v>0</v>
      </c>
      <c r="M260" s="755">
        <v>233247</v>
      </c>
      <c r="N260" s="755">
        <v>2151003</v>
      </c>
      <c r="O260" s="755">
        <v>169462</v>
      </c>
      <c r="P260" s="755">
        <v>0</v>
      </c>
      <c r="Q260" s="755">
        <v>6500</v>
      </c>
      <c r="R260" s="749">
        <v>0</v>
      </c>
      <c r="S260" s="753">
        <v>0</v>
      </c>
    </row>
    <row r="261" spans="1:19" ht="12" customHeight="1">
      <c r="A261" s="747"/>
      <c r="B261" s="758"/>
      <c r="C261" s="759"/>
      <c r="D261" s="750" t="s">
        <v>976</v>
      </c>
      <c r="E261" s="751">
        <v>4281801</v>
      </c>
      <c r="F261" s="751">
        <v>3657477</v>
      </c>
      <c r="G261" s="755">
        <v>96077</v>
      </c>
      <c r="H261" s="755">
        <v>15500</v>
      </c>
      <c r="I261" s="755">
        <v>814084</v>
      </c>
      <c r="J261" s="755">
        <v>614070</v>
      </c>
      <c r="K261" s="755">
        <v>29701</v>
      </c>
      <c r="L261" s="755">
        <v>0</v>
      </c>
      <c r="M261" s="755">
        <v>171554</v>
      </c>
      <c r="N261" s="755">
        <v>1701338</v>
      </c>
      <c r="O261" s="755">
        <v>202180</v>
      </c>
      <c r="P261" s="755">
        <v>0</v>
      </c>
      <c r="Q261" s="755">
        <v>0</v>
      </c>
      <c r="R261" s="749">
        <v>0</v>
      </c>
      <c r="S261" s="753">
        <v>0</v>
      </c>
    </row>
    <row r="262" spans="1:19" ht="12" customHeight="1">
      <c r="A262" s="747"/>
      <c r="B262" s="758"/>
      <c r="C262" s="759"/>
      <c r="D262" s="750" t="s">
        <v>1032</v>
      </c>
      <c r="E262" s="751">
        <v>4141246</v>
      </c>
      <c r="F262" s="751">
        <v>3445718</v>
      </c>
      <c r="G262" s="755">
        <v>88619</v>
      </c>
      <c r="H262" s="755">
        <v>14607</v>
      </c>
      <c r="I262" s="755">
        <v>694974</v>
      </c>
      <c r="J262" s="755">
        <v>607654</v>
      </c>
      <c r="K262" s="755">
        <v>55780</v>
      </c>
      <c r="L262" s="755">
        <v>0</v>
      </c>
      <c r="M262" s="755">
        <v>135727</v>
      </c>
      <c r="N262" s="755">
        <v>1659397</v>
      </c>
      <c r="O262" s="755">
        <v>173987</v>
      </c>
      <c r="P262" s="755">
        <v>0</v>
      </c>
      <c r="Q262" s="755">
        <v>0</v>
      </c>
      <c r="R262" s="749">
        <v>0</v>
      </c>
      <c r="S262" s="753">
        <v>0</v>
      </c>
    </row>
    <row r="263" spans="1:19" ht="12" customHeight="1">
      <c r="A263" s="747"/>
      <c r="B263" s="758"/>
      <c r="C263" s="759"/>
      <c r="D263" s="750"/>
      <c r="E263" s="751"/>
      <c r="F263" s="751"/>
      <c r="G263" s="755"/>
      <c r="H263" s="755"/>
      <c r="I263" s="755"/>
      <c r="J263" s="755"/>
      <c r="K263" s="755"/>
      <c r="L263" s="755"/>
      <c r="M263" s="755"/>
      <c r="N263" s="755"/>
      <c r="O263" s="755"/>
      <c r="P263" s="755"/>
      <c r="Q263" s="755"/>
      <c r="R263" s="749"/>
      <c r="S263" s="753"/>
    </row>
    <row r="264" spans="1:19" ht="12" customHeight="1">
      <c r="A264" s="747"/>
      <c r="B264" s="780" t="s">
        <v>444</v>
      </c>
      <c r="C264" s="781"/>
      <c r="D264" s="754" t="s">
        <v>4</v>
      </c>
      <c r="E264" s="751">
        <v>33350</v>
      </c>
      <c r="F264" s="751">
        <v>416916</v>
      </c>
      <c r="G264" s="752">
        <v>35045</v>
      </c>
      <c r="H264" s="752">
        <v>17043</v>
      </c>
      <c r="I264" s="755">
        <v>54484</v>
      </c>
      <c r="J264" s="752">
        <v>256996</v>
      </c>
      <c r="K264" s="752">
        <v>5500</v>
      </c>
      <c r="L264" s="752">
        <v>0</v>
      </c>
      <c r="M264" s="752">
        <v>0</v>
      </c>
      <c r="N264" s="752">
        <v>0</v>
      </c>
      <c r="O264" s="752">
        <v>24128</v>
      </c>
      <c r="P264" s="752">
        <v>0</v>
      </c>
      <c r="Q264" s="752">
        <v>23720</v>
      </c>
      <c r="R264" s="749">
        <v>0</v>
      </c>
      <c r="S264" s="753">
        <v>0</v>
      </c>
    </row>
    <row r="265" spans="1:19" ht="12" customHeight="1">
      <c r="A265" s="747"/>
      <c r="B265" s="748"/>
      <c r="C265" s="749"/>
      <c r="D265" s="750" t="s">
        <v>976</v>
      </c>
      <c r="E265" s="751">
        <v>29742</v>
      </c>
      <c r="F265" s="751">
        <v>455601</v>
      </c>
      <c r="G265" s="752">
        <v>44732</v>
      </c>
      <c r="H265" s="752">
        <v>15876</v>
      </c>
      <c r="I265" s="755">
        <v>55529</v>
      </c>
      <c r="J265" s="752">
        <v>297995</v>
      </c>
      <c r="K265" s="752">
        <v>6446</v>
      </c>
      <c r="L265" s="752">
        <v>0</v>
      </c>
      <c r="M265" s="752">
        <v>0</v>
      </c>
      <c r="N265" s="752">
        <v>610</v>
      </c>
      <c r="O265" s="752">
        <v>47386</v>
      </c>
      <c r="P265" s="752">
        <v>0</v>
      </c>
      <c r="Q265" s="752">
        <v>0</v>
      </c>
      <c r="R265" s="749">
        <v>0</v>
      </c>
      <c r="S265" s="753">
        <v>0</v>
      </c>
    </row>
    <row r="266" spans="1:19" ht="12" customHeight="1">
      <c r="A266" s="747"/>
      <c r="B266" s="748"/>
      <c r="C266" s="749"/>
      <c r="D266" s="750" t="s">
        <v>1032</v>
      </c>
      <c r="E266" s="751">
        <v>26161</v>
      </c>
      <c r="F266" s="751">
        <v>412480</v>
      </c>
      <c r="G266" s="752">
        <v>35869</v>
      </c>
      <c r="H266" s="752">
        <v>12990</v>
      </c>
      <c r="I266" s="755">
        <v>45337</v>
      </c>
      <c r="J266" s="752">
        <v>293695</v>
      </c>
      <c r="K266" s="752">
        <v>2266</v>
      </c>
      <c r="L266" s="752">
        <v>0</v>
      </c>
      <c r="M266" s="752">
        <v>0</v>
      </c>
      <c r="N266" s="752">
        <v>610</v>
      </c>
      <c r="O266" s="752">
        <v>34686</v>
      </c>
      <c r="P266" s="752">
        <v>0</v>
      </c>
      <c r="Q266" s="752">
        <v>0</v>
      </c>
      <c r="R266" s="749">
        <v>0</v>
      </c>
      <c r="S266" s="753">
        <v>0</v>
      </c>
    </row>
    <row r="267" spans="1:19" ht="12" customHeight="1">
      <c r="A267" s="747"/>
      <c r="B267" s="748"/>
      <c r="C267" s="749"/>
      <c r="D267" s="750"/>
      <c r="E267" s="751"/>
      <c r="F267" s="751"/>
      <c r="G267" s="752"/>
      <c r="H267" s="752"/>
      <c r="I267" s="752"/>
      <c r="J267" s="752"/>
      <c r="K267" s="752"/>
      <c r="L267" s="752"/>
      <c r="M267" s="752"/>
      <c r="N267" s="752"/>
      <c r="O267" s="752"/>
      <c r="P267" s="752"/>
      <c r="Q267" s="752"/>
      <c r="R267" s="749"/>
      <c r="S267" s="753"/>
    </row>
    <row r="268" spans="1:19" ht="12" customHeight="1">
      <c r="A268" s="747"/>
      <c r="B268" s="780" t="s">
        <v>445</v>
      </c>
      <c r="C268" s="781"/>
      <c r="D268" s="750" t="s">
        <v>4</v>
      </c>
      <c r="E268" s="751">
        <v>2158295</v>
      </c>
      <c r="F268" s="751">
        <v>2629591</v>
      </c>
      <c r="G268" s="752">
        <v>49450</v>
      </c>
      <c r="H268" s="752">
        <v>14695</v>
      </c>
      <c r="I268" s="752">
        <v>59049</v>
      </c>
      <c r="J268" s="752">
        <v>356005</v>
      </c>
      <c r="K268" s="752">
        <v>0</v>
      </c>
      <c r="L268" s="752">
        <v>193800</v>
      </c>
      <c r="M268" s="752">
        <v>1016</v>
      </c>
      <c r="N268" s="752">
        <v>41243</v>
      </c>
      <c r="O268" s="752">
        <v>0</v>
      </c>
      <c r="P268" s="752">
        <v>247117</v>
      </c>
      <c r="Q268" s="752">
        <v>11000</v>
      </c>
      <c r="R268" s="752">
        <v>1656216</v>
      </c>
      <c r="S268" s="753">
        <v>0</v>
      </c>
    </row>
    <row r="269" spans="1:19" ht="12" customHeight="1">
      <c r="A269" s="747"/>
      <c r="B269" s="748"/>
      <c r="C269" s="749"/>
      <c r="D269" s="750" t="s">
        <v>976</v>
      </c>
      <c r="E269" s="751">
        <v>4461302</v>
      </c>
      <c r="F269" s="751">
        <v>4659767</v>
      </c>
      <c r="G269" s="752">
        <v>65976</v>
      </c>
      <c r="H269" s="752">
        <v>20496</v>
      </c>
      <c r="I269" s="752">
        <v>416332</v>
      </c>
      <c r="J269" s="752">
        <v>51844</v>
      </c>
      <c r="K269" s="752">
        <v>29000</v>
      </c>
      <c r="L269" s="752">
        <v>4168</v>
      </c>
      <c r="M269" s="752">
        <v>1016</v>
      </c>
      <c r="N269" s="752">
        <v>10217</v>
      </c>
      <c r="O269" s="752">
        <v>380</v>
      </c>
      <c r="P269" s="752">
        <v>0</v>
      </c>
      <c r="Q269" s="752">
        <v>953447</v>
      </c>
      <c r="R269" s="752">
        <v>1606891</v>
      </c>
      <c r="S269" s="760">
        <v>1500000</v>
      </c>
    </row>
    <row r="270" spans="1:19" ht="12" customHeight="1">
      <c r="A270" s="747"/>
      <c r="B270" s="748"/>
      <c r="C270" s="749"/>
      <c r="D270" s="754" t="s">
        <v>1032</v>
      </c>
      <c r="E270" s="751">
        <v>4437708</v>
      </c>
      <c r="F270" s="751">
        <v>4563055</v>
      </c>
      <c r="G270" s="755">
        <v>65184</v>
      </c>
      <c r="H270" s="755">
        <v>19217</v>
      </c>
      <c r="I270" s="755">
        <v>391938</v>
      </c>
      <c r="J270" s="755">
        <v>43480</v>
      </c>
      <c r="K270" s="755">
        <v>0</v>
      </c>
      <c r="L270" s="755">
        <v>0</v>
      </c>
      <c r="M270" s="755">
        <v>0</v>
      </c>
      <c r="N270" s="755">
        <v>8255</v>
      </c>
      <c r="O270" s="755">
        <v>380</v>
      </c>
      <c r="P270" s="755">
        <v>0</v>
      </c>
      <c r="Q270" s="755">
        <v>953446</v>
      </c>
      <c r="R270" s="752">
        <v>1581155</v>
      </c>
      <c r="S270" s="760">
        <v>1500000</v>
      </c>
    </row>
  </sheetData>
  <sheetProtection/>
  <mergeCells count="4">
    <mergeCell ref="A1:S1"/>
    <mergeCell ref="G3:L3"/>
    <mergeCell ref="M3:P3"/>
    <mergeCell ref="Q3:R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Header>&amp;L&amp;16 5. melléklet a 16/2016.(V.26.)   önkormányzati rendelethez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zoomScale="68" zoomScaleNormal="68" zoomScalePageLayoutView="0" workbookViewId="0" topLeftCell="A67">
      <selection activeCell="A93" sqref="A93:IV93"/>
    </sheetView>
  </sheetViews>
  <sheetFormatPr defaultColWidth="9.00390625" defaultRowHeight="12.75"/>
  <cols>
    <col min="1" max="1" width="21.375" style="0" customWidth="1"/>
    <col min="2" max="2" width="9.625" style="0" customWidth="1"/>
    <col min="3" max="3" width="83.375" style="0" customWidth="1"/>
    <col min="4" max="4" width="14.125" style="0" customWidth="1"/>
    <col min="5" max="9" width="17.125" style="0" bestFit="1" customWidth="1"/>
    <col min="10" max="10" width="12.25390625" style="0" bestFit="1" customWidth="1"/>
    <col min="11" max="11" width="14.875" style="0" bestFit="1" customWidth="1"/>
    <col min="12" max="13" width="9.25390625" style="0" bestFit="1" customWidth="1"/>
    <col min="14" max="14" width="14.875" style="0" bestFit="1" customWidth="1"/>
    <col min="15" max="15" width="12.25390625" style="0" bestFit="1" customWidth="1"/>
    <col min="16" max="16" width="9.75390625" style="0" customWidth="1"/>
    <col min="17" max="17" width="9.25390625" style="0" bestFit="1" customWidth="1"/>
    <col min="18" max="18" width="12.375" style="0" customWidth="1"/>
  </cols>
  <sheetData>
    <row r="1" spans="1:18" ht="12" customHeight="1">
      <c r="A1" s="89"/>
      <c r="B1" s="1186"/>
      <c r="C1" s="1186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2" customHeight="1">
      <c r="A2" s="89"/>
      <c r="B2" s="1187" t="s">
        <v>22</v>
      </c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  <c r="Q2" s="719"/>
      <c r="R2" s="89"/>
    </row>
    <row r="3" spans="1:18" ht="12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712"/>
      <c r="O3" s="713"/>
      <c r="P3" s="713"/>
      <c r="Q3" s="713"/>
      <c r="R3" s="713" t="s">
        <v>299</v>
      </c>
    </row>
    <row r="4" spans="1:18" ht="12" customHeight="1">
      <c r="A4" s="1188" t="s">
        <v>621</v>
      </c>
      <c r="B4" s="1188"/>
      <c r="C4" s="1188"/>
      <c r="D4" s="1188"/>
      <c r="E4" s="1188" t="s">
        <v>300</v>
      </c>
      <c r="F4" s="1188" t="s">
        <v>301</v>
      </c>
      <c r="G4" s="1189" t="s">
        <v>305</v>
      </c>
      <c r="H4" s="1189"/>
      <c r="I4" s="1189"/>
      <c r="J4" s="1189"/>
      <c r="K4" s="1189"/>
      <c r="L4" s="1189"/>
      <c r="M4" s="1189" t="s">
        <v>306</v>
      </c>
      <c r="N4" s="1189"/>
      <c r="O4" s="1189"/>
      <c r="P4" s="1189"/>
      <c r="Q4" s="1189" t="s">
        <v>271</v>
      </c>
      <c r="R4" s="1189"/>
    </row>
    <row r="5" spans="1:18" ht="12" customHeight="1">
      <c r="A5" s="1188"/>
      <c r="B5" s="1188"/>
      <c r="C5" s="1188"/>
      <c r="D5" s="1188"/>
      <c r="E5" s="1188"/>
      <c r="F5" s="1188"/>
      <c r="G5" s="1191" t="s">
        <v>560</v>
      </c>
      <c r="H5" s="1191" t="s">
        <v>307</v>
      </c>
      <c r="I5" s="1191" t="s">
        <v>422</v>
      </c>
      <c r="J5" s="1191" t="s">
        <v>564</v>
      </c>
      <c r="K5" s="1191" t="s">
        <v>563</v>
      </c>
      <c r="L5" s="1191" t="s">
        <v>646</v>
      </c>
      <c r="M5" s="1188" t="s">
        <v>274</v>
      </c>
      <c r="N5" s="1188" t="s">
        <v>273</v>
      </c>
      <c r="O5" s="1191" t="s">
        <v>581</v>
      </c>
      <c r="P5" s="1190" t="s">
        <v>245</v>
      </c>
      <c r="Q5" s="1190" t="s">
        <v>308</v>
      </c>
      <c r="R5" s="1191" t="s">
        <v>246</v>
      </c>
    </row>
    <row r="6" spans="1:18" ht="12" customHeight="1">
      <c r="A6" s="1188"/>
      <c r="B6" s="1188"/>
      <c r="C6" s="1188"/>
      <c r="D6" s="1188"/>
      <c r="E6" s="1188"/>
      <c r="F6" s="1188"/>
      <c r="G6" s="1191"/>
      <c r="H6" s="1191"/>
      <c r="I6" s="1191"/>
      <c r="J6" s="1191"/>
      <c r="K6" s="1191"/>
      <c r="L6" s="1191"/>
      <c r="M6" s="1188"/>
      <c r="N6" s="1188"/>
      <c r="O6" s="1191"/>
      <c r="P6" s="1190"/>
      <c r="Q6" s="1190"/>
      <c r="R6" s="1191"/>
    </row>
    <row r="7" spans="1:18" ht="12" customHeight="1">
      <c r="A7" s="1192" t="s">
        <v>637</v>
      </c>
      <c r="B7" s="1192"/>
      <c r="C7" s="1192"/>
      <c r="D7" s="720"/>
      <c r="E7" s="721"/>
      <c r="F7" s="721"/>
      <c r="G7" s="722"/>
      <c r="H7" s="722"/>
      <c r="I7" s="722"/>
      <c r="J7" s="722"/>
      <c r="K7" s="722"/>
      <c r="L7" s="722"/>
      <c r="M7" s="722"/>
      <c r="N7" s="722"/>
      <c r="O7" s="722"/>
      <c r="P7" s="722"/>
      <c r="Q7" s="722"/>
      <c r="R7" s="723"/>
    </row>
    <row r="8" spans="1:18" ht="12" customHeight="1">
      <c r="A8" s="723" t="s">
        <v>309</v>
      </c>
      <c r="B8" s="724" t="s">
        <v>17</v>
      </c>
      <c r="C8" s="725" t="s">
        <v>186</v>
      </c>
      <c r="D8" s="720" t="s">
        <v>4</v>
      </c>
      <c r="E8" s="721">
        <v>14935</v>
      </c>
      <c r="F8" s="721">
        <f aca="true" t="shared" si="0" ref="F8:F20">SUM(G8:R8)</f>
        <v>427611</v>
      </c>
      <c r="G8" s="726">
        <v>206015</v>
      </c>
      <c r="H8" s="726">
        <v>61085</v>
      </c>
      <c r="I8" s="726">
        <v>128044</v>
      </c>
      <c r="J8" s="726">
        <v>2000</v>
      </c>
      <c r="K8" s="726"/>
      <c r="L8" s="726"/>
      <c r="M8" s="726"/>
      <c r="N8" s="726">
        <v>30467</v>
      </c>
      <c r="O8" s="726"/>
      <c r="P8" s="726"/>
      <c r="Q8" s="726"/>
      <c r="R8" s="723"/>
    </row>
    <row r="9" spans="1:18" ht="12" customHeight="1">
      <c r="A9" s="723"/>
      <c r="B9" s="724"/>
      <c r="C9" s="725"/>
      <c r="D9" s="714" t="s">
        <v>976</v>
      </c>
      <c r="E9" s="721">
        <v>21197</v>
      </c>
      <c r="F9" s="721">
        <f t="shared" si="0"/>
        <v>397077</v>
      </c>
      <c r="G9" s="726">
        <v>203974</v>
      </c>
      <c r="H9" s="726">
        <v>60535</v>
      </c>
      <c r="I9" s="726">
        <v>112813</v>
      </c>
      <c r="J9" s="726">
        <v>363</v>
      </c>
      <c r="K9" s="726"/>
      <c r="L9" s="726"/>
      <c r="M9" s="726"/>
      <c r="N9" s="726">
        <v>19392</v>
      </c>
      <c r="O9" s="726"/>
      <c r="P9" s="726"/>
      <c r="Q9" s="726"/>
      <c r="R9" s="723"/>
    </row>
    <row r="10" spans="1:18" ht="12" customHeight="1">
      <c r="A10" s="723"/>
      <c r="B10" s="724"/>
      <c r="C10" s="725"/>
      <c r="D10" s="714" t="s">
        <v>1032</v>
      </c>
      <c r="E10" s="721">
        <v>17779</v>
      </c>
      <c r="F10" s="721">
        <f t="shared" si="0"/>
        <v>370450</v>
      </c>
      <c r="G10" s="726">
        <v>194378</v>
      </c>
      <c r="H10" s="726">
        <v>58186</v>
      </c>
      <c r="I10" s="726">
        <v>109172</v>
      </c>
      <c r="J10" s="726">
        <v>229</v>
      </c>
      <c r="K10" s="726"/>
      <c r="L10" s="726"/>
      <c r="M10" s="726"/>
      <c r="N10" s="726">
        <v>8485</v>
      </c>
      <c r="O10" s="726"/>
      <c r="P10" s="726"/>
      <c r="Q10" s="726"/>
      <c r="R10" s="723"/>
    </row>
    <row r="11" spans="1:18" ht="12" customHeight="1">
      <c r="A11" s="723" t="s">
        <v>309</v>
      </c>
      <c r="B11" s="724" t="s">
        <v>187</v>
      </c>
      <c r="C11" s="725" t="s">
        <v>189</v>
      </c>
      <c r="D11" s="720" t="s">
        <v>4</v>
      </c>
      <c r="E11" s="721"/>
      <c r="F11" s="721">
        <f t="shared" si="0"/>
        <v>44478</v>
      </c>
      <c r="G11" s="726">
        <v>34326</v>
      </c>
      <c r="H11" s="726">
        <v>9152</v>
      </c>
      <c r="I11" s="726">
        <v>1000</v>
      </c>
      <c r="J11" s="726"/>
      <c r="K11" s="726"/>
      <c r="L11" s="726"/>
      <c r="M11" s="726"/>
      <c r="N11" s="726"/>
      <c r="O11" s="726"/>
      <c r="P11" s="726"/>
      <c r="Q11" s="726"/>
      <c r="R11" s="723"/>
    </row>
    <row r="12" spans="1:18" ht="12" customHeight="1">
      <c r="A12" s="723"/>
      <c r="B12" s="724"/>
      <c r="C12" s="725"/>
      <c r="D12" s="714" t="s">
        <v>976</v>
      </c>
      <c r="E12" s="721"/>
      <c r="F12" s="721">
        <f t="shared" si="0"/>
        <v>46377</v>
      </c>
      <c r="G12" s="726">
        <v>35431</v>
      </c>
      <c r="H12" s="726">
        <v>9946</v>
      </c>
      <c r="I12" s="726">
        <v>1000</v>
      </c>
      <c r="J12" s="726"/>
      <c r="K12" s="726"/>
      <c r="L12" s="726"/>
      <c r="M12" s="726"/>
      <c r="N12" s="726"/>
      <c r="O12" s="726"/>
      <c r="P12" s="726"/>
      <c r="Q12" s="726"/>
      <c r="R12" s="723"/>
    </row>
    <row r="13" spans="1:18" ht="12" customHeight="1">
      <c r="A13" s="723"/>
      <c r="B13" s="724"/>
      <c r="C13" s="725"/>
      <c r="D13" s="714" t="s">
        <v>1032</v>
      </c>
      <c r="E13" s="721"/>
      <c r="F13" s="721">
        <f t="shared" si="0"/>
        <v>46022</v>
      </c>
      <c r="G13" s="726">
        <v>35430</v>
      </c>
      <c r="H13" s="726">
        <v>9945</v>
      </c>
      <c r="I13" s="726">
        <v>647</v>
      </c>
      <c r="J13" s="726"/>
      <c r="K13" s="726"/>
      <c r="L13" s="726"/>
      <c r="M13" s="726"/>
      <c r="N13" s="726"/>
      <c r="O13" s="726"/>
      <c r="P13" s="726"/>
      <c r="Q13" s="726"/>
      <c r="R13" s="723"/>
    </row>
    <row r="14" spans="1:18" ht="12" customHeight="1">
      <c r="A14" s="723" t="s">
        <v>309</v>
      </c>
      <c r="B14" s="724" t="s">
        <v>478</v>
      </c>
      <c r="C14" s="725" t="s">
        <v>479</v>
      </c>
      <c r="D14" s="720" t="s">
        <v>4</v>
      </c>
      <c r="E14" s="721">
        <v>4100</v>
      </c>
      <c r="F14" s="721">
        <f t="shared" si="0"/>
        <v>8328</v>
      </c>
      <c r="G14" s="726">
        <v>4923</v>
      </c>
      <c r="H14" s="726">
        <v>1405</v>
      </c>
      <c r="I14" s="726">
        <v>2000</v>
      </c>
      <c r="J14" s="726"/>
      <c r="K14" s="726"/>
      <c r="L14" s="726"/>
      <c r="M14" s="726"/>
      <c r="N14" s="726"/>
      <c r="O14" s="726"/>
      <c r="P14" s="726"/>
      <c r="Q14" s="726"/>
      <c r="R14" s="723"/>
    </row>
    <row r="15" spans="1:18" ht="12" customHeight="1">
      <c r="A15" s="723"/>
      <c r="B15" s="724"/>
      <c r="C15" s="725"/>
      <c r="D15" s="714" t="s">
        <v>976</v>
      </c>
      <c r="E15" s="721">
        <v>5100</v>
      </c>
      <c r="F15" s="721">
        <f t="shared" si="0"/>
        <v>8328</v>
      </c>
      <c r="G15" s="726">
        <v>4923</v>
      </c>
      <c r="H15" s="726">
        <v>1405</v>
      </c>
      <c r="I15" s="726">
        <v>2000</v>
      </c>
      <c r="J15" s="726"/>
      <c r="K15" s="726"/>
      <c r="L15" s="726"/>
      <c r="M15" s="726"/>
      <c r="N15" s="726"/>
      <c r="O15" s="726"/>
      <c r="P15" s="726"/>
      <c r="Q15" s="726"/>
      <c r="R15" s="723"/>
    </row>
    <row r="16" spans="1:18" ht="12" customHeight="1">
      <c r="A16" s="723"/>
      <c r="B16" s="724"/>
      <c r="C16" s="725"/>
      <c r="D16" s="714" t="s">
        <v>1032</v>
      </c>
      <c r="E16" s="721">
        <v>6602</v>
      </c>
      <c r="F16" s="721">
        <f t="shared" si="0"/>
        <v>4326</v>
      </c>
      <c r="G16" s="726">
        <v>3181</v>
      </c>
      <c r="H16" s="726">
        <v>733</v>
      </c>
      <c r="I16" s="726">
        <v>412</v>
      </c>
      <c r="J16" s="726"/>
      <c r="K16" s="726"/>
      <c r="L16" s="726"/>
      <c r="M16" s="726"/>
      <c r="N16" s="726"/>
      <c r="O16" s="726"/>
      <c r="P16" s="726"/>
      <c r="Q16" s="726"/>
      <c r="R16" s="723"/>
    </row>
    <row r="17" spans="1:18" ht="12" customHeight="1">
      <c r="A17" s="723" t="s">
        <v>309</v>
      </c>
      <c r="B17" s="724" t="s">
        <v>1275</v>
      </c>
      <c r="C17" s="725" t="s">
        <v>329</v>
      </c>
      <c r="D17" s="720" t="s">
        <v>4</v>
      </c>
      <c r="E17" s="721"/>
      <c r="F17" s="721">
        <f t="shared" si="0"/>
        <v>0</v>
      </c>
      <c r="G17" s="726"/>
      <c r="H17" s="726"/>
      <c r="I17" s="726"/>
      <c r="J17" s="726"/>
      <c r="K17" s="726"/>
      <c r="L17" s="726"/>
      <c r="M17" s="726"/>
      <c r="N17" s="726"/>
      <c r="O17" s="726"/>
      <c r="P17" s="726"/>
      <c r="Q17" s="726"/>
      <c r="R17" s="723"/>
    </row>
    <row r="18" spans="1:18" ht="12" customHeight="1">
      <c r="A18" s="723"/>
      <c r="B18" s="724"/>
      <c r="C18" s="725"/>
      <c r="D18" s="714" t="s">
        <v>976</v>
      </c>
      <c r="E18" s="721"/>
      <c r="F18" s="721">
        <f t="shared" si="0"/>
        <v>0</v>
      </c>
      <c r="G18" s="726"/>
      <c r="H18" s="726"/>
      <c r="I18" s="726"/>
      <c r="J18" s="726"/>
      <c r="K18" s="726"/>
      <c r="L18" s="726"/>
      <c r="M18" s="726"/>
      <c r="N18" s="726"/>
      <c r="O18" s="726"/>
      <c r="P18" s="726"/>
      <c r="Q18" s="726"/>
      <c r="R18" s="723"/>
    </row>
    <row r="19" spans="1:18" ht="12" customHeight="1">
      <c r="A19" s="723"/>
      <c r="B19" s="724"/>
      <c r="C19" s="725"/>
      <c r="D19" s="714" t="s">
        <v>1032</v>
      </c>
      <c r="E19" s="721"/>
      <c r="F19" s="721">
        <f t="shared" si="0"/>
        <v>130</v>
      </c>
      <c r="G19" s="726"/>
      <c r="H19" s="726"/>
      <c r="I19" s="726"/>
      <c r="J19" s="726">
        <v>130</v>
      </c>
      <c r="K19" s="726"/>
      <c r="L19" s="726"/>
      <c r="M19" s="726"/>
      <c r="N19" s="726"/>
      <c r="O19" s="726"/>
      <c r="P19" s="726"/>
      <c r="Q19" s="726"/>
      <c r="R19" s="723"/>
    </row>
    <row r="20" spans="1:18" ht="12" customHeight="1">
      <c r="A20" s="723" t="s">
        <v>309</v>
      </c>
      <c r="B20" s="724" t="s">
        <v>196</v>
      </c>
      <c r="C20" s="725" t="s">
        <v>333</v>
      </c>
      <c r="D20" s="720" t="s">
        <v>4</v>
      </c>
      <c r="E20" s="721">
        <v>607670</v>
      </c>
      <c r="F20" s="721">
        <f t="shared" si="0"/>
        <v>0</v>
      </c>
      <c r="G20" s="726"/>
      <c r="H20" s="726"/>
      <c r="I20" s="726"/>
      <c r="J20" s="726"/>
      <c r="K20" s="726"/>
      <c r="L20" s="726"/>
      <c r="M20" s="726"/>
      <c r="N20" s="726"/>
      <c r="O20" s="726"/>
      <c r="P20" s="726"/>
      <c r="Q20" s="726"/>
      <c r="R20" s="722"/>
    </row>
    <row r="21" spans="1:18" ht="12" customHeight="1">
      <c r="A21" s="723"/>
      <c r="B21" s="724"/>
      <c r="C21" s="725"/>
      <c r="D21" s="714" t="s">
        <v>976</v>
      </c>
      <c r="E21" s="721">
        <v>581383</v>
      </c>
      <c r="F21" s="721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2"/>
    </row>
    <row r="22" spans="1:18" ht="12" customHeight="1">
      <c r="A22" s="723"/>
      <c r="B22" s="724"/>
      <c r="C22" s="725"/>
      <c r="D22" s="714" t="s">
        <v>1032</v>
      </c>
      <c r="E22" s="721">
        <v>559556</v>
      </c>
      <c r="F22" s="721"/>
      <c r="G22" s="726"/>
      <c r="H22" s="726"/>
      <c r="I22" s="726"/>
      <c r="J22" s="726"/>
      <c r="K22" s="726"/>
      <c r="L22" s="726"/>
      <c r="M22" s="726"/>
      <c r="N22" s="726"/>
      <c r="O22" s="726"/>
      <c r="P22" s="726"/>
      <c r="Q22" s="726"/>
      <c r="R22" s="722"/>
    </row>
    <row r="23" spans="1:18" ht="12" customHeight="1">
      <c r="A23" s="723" t="s">
        <v>316</v>
      </c>
      <c r="B23" s="724" t="s">
        <v>216</v>
      </c>
      <c r="C23" s="725" t="s">
        <v>195</v>
      </c>
      <c r="D23" s="720" t="s">
        <v>4</v>
      </c>
      <c r="E23" s="721"/>
      <c r="F23" s="721">
        <f aca="true" t="shared" si="1" ref="F23:F55">SUM(G23:R23)</f>
        <v>21552</v>
      </c>
      <c r="G23" s="726">
        <v>15449</v>
      </c>
      <c r="H23" s="726">
        <v>4001</v>
      </c>
      <c r="I23" s="726">
        <v>2102</v>
      </c>
      <c r="J23" s="726"/>
      <c r="K23" s="726"/>
      <c r="L23" s="726"/>
      <c r="M23" s="726"/>
      <c r="N23" s="726"/>
      <c r="O23" s="726"/>
      <c r="P23" s="726"/>
      <c r="Q23" s="726"/>
      <c r="R23" s="723"/>
    </row>
    <row r="24" spans="1:18" ht="12" customHeight="1">
      <c r="A24" s="723"/>
      <c r="B24" s="724"/>
      <c r="C24" s="725"/>
      <c r="D24" s="714" t="s">
        <v>976</v>
      </c>
      <c r="E24" s="721"/>
      <c r="F24" s="721">
        <f t="shared" si="1"/>
        <v>21552</v>
      </c>
      <c r="G24" s="726">
        <v>15449</v>
      </c>
      <c r="H24" s="726">
        <v>4001</v>
      </c>
      <c r="I24" s="726">
        <v>2097</v>
      </c>
      <c r="J24" s="726"/>
      <c r="K24" s="726"/>
      <c r="L24" s="726"/>
      <c r="M24" s="726"/>
      <c r="N24" s="726">
        <v>5</v>
      </c>
      <c r="O24" s="726"/>
      <c r="P24" s="726"/>
      <c r="Q24" s="726"/>
      <c r="R24" s="723"/>
    </row>
    <row r="25" spans="1:18" ht="12" customHeight="1">
      <c r="A25" s="723"/>
      <c r="B25" s="724"/>
      <c r="C25" s="725"/>
      <c r="D25" s="714" t="s">
        <v>1032</v>
      </c>
      <c r="E25" s="721">
        <v>475</v>
      </c>
      <c r="F25" s="721">
        <f t="shared" si="1"/>
        <v>15677</v>
      </c>
      <c r="G25" s="726">
        <v>11371</v>
      </c>
      <c r="H25" s="726">
        <v>3176</v>
      </c>
      <c r="I25" s="726">
        <v>1125</v>
      </c>
      <c r="J25" s="726"/>
      <c r="K25" s="726"/>
      <c r="L25" s="726"/>
      <c r="M25" s="726"/>
      <c r="N25" s="726">
        <v>5</v>
      </c>
      <c r="O25" s="726"/>
      <c r="P25" s="726"/>
      <c r="Q25" s="726"/>
      <c r="R25" s="723"/>
    </row>
    <row r="26" spans="1:18" ht="12" customHeight="1">
      <c r="A26" s="723" t="s">
        <v>309</v>
      </c>
      <c r="B26" s="724" t="s">
        <v>482</v>
      </c>
      <c r="C26" s="725" t="s">
        <v>743</v>
      </c>
      <c r="D26" s="720" t="s">
        <v>4</v>
      </c>
      <c r="E26" s="721"/>
      <c r="F26" s="721">
        <f t="shared" si="1"/>
        <v>31192</v>
      </c>
      <c r="G26" s="726">
        <v>23480</v>
      </c>
      <c r="H26" s="726">
        <v>6346</v>
      </c>
      <c r="I26" s="726">
        <v>1140</v>
      </c>
      <c r="J26" s="726"/>
      <c r="K26" s="726"/>
      <c r="L26" s="726"/>
      <c r="M26" s="726"/>
      <c r="N26" s="726">
        <v>226</v>
      </c>
      <c r="O26" s="726"/>
      <c r="P26" s="726"/>
      <c r="Q26" s="726"/>
      <c r="R26" s="723"/>
    </row>
    <row r="27" spans="1:18" ht="12" customHeight="1">
      <c r="A27" s="723"/>
      <c r="B27" s="724"/>
      <c r="C27" s="725"/>
      <c r="D27" s="714" t="s">
        <v>976</v>
      </c>
      <c r="E27" s="721"/>
      <c r="F27" s="721">
        <f t="shared" si="1"/>
        <v>34322</v>
      </c>
      <c r="G27" s="726">
        <v>26610</v>
      </c>
      <c r="H27" s="726">
        <v>7603</v>
      </c>
      <c r="I27" s="726">
        <v>0</v>
      </c>
      <c r="J27" s="726"/>
      <c r="K27" s="726"/>
      <c r="L27" s="726"/>
      <c r="M27" s="726"/>
      <c r="N27" s="726">
        <v>109</v>
      </c>
      <c r="O27" s="726"/>
      <c r="P27" s="726"/>
      <c r="Q27" s="726"/>
      <c r="R27" s="723"/>
    </row>
    <row r="28" spans="1:18" ht="12" customHeight="1">
      <c r="A28" s="723"/>
      <c r="B28" s="724"/>
      <c r="C28" s="725"/>
      <c r="D28" s="714" t="s">
        <v>1032</v>
      </c>
      <c r="E28" s="721"/>
      <c r="F28" s="721">
        <f t="shared" si="1"/>
        <v>34213</v>
      </c>
      <c r="G28" s="726">
        <v>26610</v>
      </c>
      <c r="H28" s="726">
        <v>7603</v>
      </c>
      <c r="I28" s="726"/>
      <c r="J28" s="726"/>
      <c r="K28" s="726"/>
      <c r="L28" s="726"/>
      <c r="M28" s="726"/>
      <c r="N28" s="726"/>
      <c r="O28" s="726"/>
      <c r="P28" s="726"/>
      <c r="Q28" s="726"/>
      <c r="R28" s="723"/>
    </row>
    <row r="29" spans="1:18" ht="12" customHeight="1">
      <c r="A29" s="723" t="s">
        <v>316</v>
      </c>
      <c r="B29" s="724" t="s">
        <v>179</v>
      </c>
      <c r="C29" s="725" t="s">
        <v>191</v>
      </c>
      <c r="D29" s="720" t="s">
        <v>4</v>
      </c>
      <c r="E29" s="721">
        <v>990</v>
      </c>
      <c r="F29" s="721">
        <f t="shared" si="1"/>
        <v>1000</v>
      </c>
      <c r="G29" s="722"/>
      <c r="H29" s="722"/>
      <c r="I29" s="722"/>
      <c r="J29" s="722"/>
      <c r="K29" s="722"/>
      <c r="L29" s="722"/>
      <c r="M29" s="722"/>
      <c r="N29" s="722"/>
      <c r="O29" s="722">
        <v>1000</v>
      </c>
      <c r="P29" s="722"/>
      <c r="Q29" s="722"/>
      <c r="R29" s="723"/>
    </row>
    <row r="30" spans="1:18" ht="12" customHeight="1">
      <c r="A30" s="723"/>
      <c r="B30" s="724"/>
      <c r="C30" s="725"/>
      <c r="D30" s="714" t="s">
        <v>976</v>
      </c>
      <c r="E30" s="721">
        <v>990</v>
      </c>
      <c r="F30" s="721">
        <f t="shared" si="1"/>
        <v>1000</v>
      </c>
      <c r="G30" s="722"/>
      <c r="H30" s="722"/>
      <c r="I30" s="722"/>
      <c r="J30" s="722"/>
      <c r="K30" s="722"/>
      <c r="L30" s="722"/>
      <c r="M30" s="722"/>
      <c r="N30" s="722"/>
      <c r="O30" s="722">
        <v>1000</v>
      </c>
      <c r="P30" s="722"/>
      <c r="Q30" s="722"/>
      <c r="R30" s="723"/>
    </row>
    <row r="31" spans="1:18" ht="12" customHeight="1">
      <c r="A31" s="723"/>
      <c r="B31" s="724"/>
      <c r="C31" s="725"/>
      <c r="D31" s="714" t="s">
        <v>1032</v>
      </c>
      <c r="E31" s="721">
        <v>1204</v>
      </c>
      <c r="F31" s="721">
        <f t="shared" si="1"/>
        <v>600</v>
      </c>
      <c r="G31" s="722"/>
      <c r="H31" s="722"/>
      <c r="I31" s="722"/>
      <c r="J31" s="722"/>
      <c r="K31" s="722"/>
      <c r="L31" s="722"/>
      <c r="M31" s="722"/>
      <c r="N31" s="722"/>
      <c r="O31" s="722">
        <v>600</v>
      </c>
      <c r="P31" s="722"/>
      <c r="Q31" s="722"/>
      <c r="R31" s="723"/>
    </row>
    <row r="32" spans="1:18" ht="12" customHeight="1">
      <c r="A32" s="723" t="s">
        <v>309</v>
      </c>
      <c r="B32" s="724" t="s">
        <v>147</v>
      </c>
      <c r="C32" s="725" t="s">
        <v>190</v>
      </c>
      <c r="D32" s="720" t="s">
        <v>4</v>
      </c>
      <c r="E32" s="721"/>
      <c r="F32" s="721">
        <f t="shared" si="1"/>
        <v>63124</v>
      </c>
      <c r="G32" s="722">
        <v>49877</v>
      </c>
      <c r="H32" s="722">
        <v>13247</v>
      </c>
      <c r="I32" s="722"/>
      <c r="J32" s="722"/>
      <c r="K32" s="722"/>
      <c r="L32" s="722"/>
      <c r="M32" s="722"/>
      <c r="N32" s="722"/>
      <c r="O32" s="722"/>
      <c r="P32" s="722"/>
      <c r="Q32" s="722"/>
      <c r="R32" s="723"/>
    </row>
    <row r="33" spans="1:18" ht="12" customHeight="1">
      <c r="A33" s="723"/>
      <c r="B33" s="724"/>
      <c r="C33" s="725"/>
      <c r="D33" s="714" t="s">
        <v>976</v>
      </c>
      <c r="E33" s="721"/>
      <c r="F33" s="721">
        <f t="shared" si="1"/>
        <v>57124</v>
      </c>
      <c r="G33" s="722">
        <v>44877</v>
      </c>
      <c r="H33" s="722">
        <v>12247</v>
      </c>
      <c r="I33" s="722"/>
      <c r="J33" s="722"/>
      <c r="K33" s="722"/>
      <c r="L33" s="722"/>
      <c r="M33" s="722"/>
      <c r="N33" s="722"/>
      <c r="O33" s="722"/>
      <c r="P33" s="722"/>
      <c r="Q33" s="722"/>
      <c r="R33" s="723"/>
    </row>
    <row r="34" spans="1:18" ht="12" customHeight="1">
      <c r="A34" s="723"/>
      <c r="B34" s="724"/>
      <c r="C34" s="725"/>
      <c r="D34" s="714" t="s">
        <v>1032</v>
      </c>
      <c r="E34" s="721"/>
      <c r="F34" s="721">
        <f t="shared" si="1"/>
        <v>53543</v>
      </c>
      <c r="G34" s="722">
        <v>41604</v>
      </c>
      <c r="H34" s="722">
        <v>11939</v>
      </c>
      <c r="I34" s="722"/>
      <c r="J34" s="722"/>
      <c r="K34" s="722"/>
      <c r="L34" s="722"/>
      <c r="M34" s="722"/>
      <c r="N34" s="722"/>
      <c r="O34" s="722"/>
      <c r="P34" s="722"/>
      <c r="Q34" s="722"/>
      <c r="R34" s="723"/>
    </row>
    <row r="35" spans="1:18" ht="12" customHeight="1">
      <c r="A35" s="723" t="s">
        <v>316</v>
      </c>
      <c r="B35" s="724" t="s">
        <v>148</v>
      </c>
      <c r="C35" s="725" t="s">
        <v>185</v>
      </c>
      <c r="D35" s="720" t="s">
        <v>4</v>
      </c>
      <c r="E35" s="721">
        <v>2025</v>
      </c>
      <c r="F35" s="721">
        <f t="shared" si="1"/>
        <v>5480</v>
      </c>
      <c r="G35" s="722">
        <v>1200</v>
      </c>
      <c r="H35" s="722">
        <v>325</v>
      </c>
      <c r="I35" s="722">
        <v>3005</v>
      </c>
      <c r="J35" s="722"/>
      <c r="K35" s="722"/>
      <c r="L35" s="722"/>
      <c r="M35" s="722"/>
      <c r="N35" s="722">
        <v>950</v>
      </c>
      <c r="O35" s="722"/>
      <c r="P35" s="722"/>
      <c r="Q35" s="722"/>
      <c r="R35" s="723"/>
    </row>
    <row r="36" spans="1:18" ht="12" customHeight="1">
      <c r="A36" s="723"/>
      <c r="B36" s="724"/>
      <c r="C36" s="725"/>
      <c r="D36" s="714" t="s">
        <v>976</v>
      </c>
      <c r="E36" s="721">
        <v>0</v>
      </c>
      <c r="F36" s="721">
        <f t="shared" si="1"/>
        <v>0</v>
      </c>
      <c r="G36" s="722">
        <v>0</v>
      </c>
      <c r="H36" s="722">
        <v>0</v>
      </c>
      <c r="I36" s="722">
        <v>0</v>
      </c>
      <c r="J36" s="722"/>
      <c r="K36" s="722"/>
      <c r="L36" s="722"/>
      <c r="M36" s="722"/>
      <c r="N36" s="722">
        <v>0</v>
      </c>
      <c r="O36" s="722"/>
      <c r="P36" s="722"/>
      <c r="Q36" s="722"/>
      <c r="R36" s="723"/>
    </row>
    <row r="37" spans="1:18" ht="12" customHeight="1">
      <c r="A37" s="723"/>
      <c r="B37" s="724"/>
      <c r="C37" s="725"/>
      <c r="D37" s="714" t="s">
        <v>1032</v>
      </c>
      <c r="E37" s="721">
        <v>0</v>
      </c>
      <c r="F37" s="721">
        <f t="shared" si="1"/>
        <v>0</v>
      </c>
      <c r="G37" s="722">
        <v>0</v>
      </c>
      <c r="H37" s="722">
        <v>0</v>
      </c>
      <c r="I37" s="722">
        <v>0</v>
      </c>
      <c r="J37" s="722"/>
      <c r="K37" s="722"/>
      <c r="L37" s="722"/>
      <c r="M37" s="722"/>
      <c r="N37" s="722">
        <v>0</v>
      </c>
      <c r="O37" s="722"/>
      <c r="P37" s="722"/>
      <c r="Q37" s="722"/>
      <c r="R37" s="723"/>
    </row>
    <row r="38" spans="1:18" ht="12" customHeight="1">
      <c r="A38" s="723" t="s">
        <v>313</v>
      </c>
      <c r="B38" s="724" t="s">
        <v>192</v>
      </c>
      <c r="C38" s="725" t="s">
        <v>406</v>
      </c>
      <c r="D38" s="720" t="s">
        <v>4</v>
      </c>
      <c r="E38" s="721"/>
      <c r="F38" s="721">
        <f t="shared" si="1"/>
        <v>10500</v>
      </c>
      <c r="G38" s="726"/>
      <c r="H38" s="726"/>
      <c r="I38" s="726"/>
      <c r="J38" s="726"/>
      <c r="K38" s="726">
        <v>10500</v>
      </c>
      <c r="L38" s="726"/>
      <c r="M38" s="726"/>
      <c r="N38" s="726"/>
      <c r="O38" s="726"/>
      <c r="P38" s="726"/>
      <c r="Q38" s="726"/>
      <c r="R38" s="723"/>
    </row>
    <row r="39" spans="1:18" ht="12" customHeight="1">
      <c r="A39" s="723"/>
      <c r="B39" s="724"/>
      <c r="C39" s="725"/>
      <c r="D39" s="714" t="s">
        <v>976</v>
      </c>
      <c r="E39" s="721"/>
      <c r="F39" s="721">
        <f t="shared" si="1"/>
        <v>10508</v>
      </c>
      <c r="G39" s="726"/>
      <c r="H39" s="726"/>
      <c r="I39" s="726"/>
      <c r="J39" s="726"/>
      <c r="K39" s="726">
        <v>10508</v>
      </c>
      <c r="L39" s="726"/>
      <c r="M39" s="726"/>
      <c r="N39" s="726"/>
      <c r="O39" s="726"/>
      <c r="P39" s="726"/>
      <c r="Q39" s="726"/>
      <c r="R39" s="723"/>
    </row>
    <row r="40" spans="1:18" ht="12" customHeight="1">
      <c r="A40" s="723"/>
      <c r="B40" s="724"/>
      <c r="C40" s="725"/>
      <c r="D40" s="714" t="s">
        <v>1032</v>
      </c>
      <c r="E40" s="721"/>
      <c r="F40" s="721">
        <f t="shared" si="1"/>
        <v>0</v>
      </c>
      <c r="G40" s="726"/>
      <c r="H40" s="726"/>
      <c r="I40" s="726"/>
      <c r="J40" s="726"/>
      <c r="K40" s="726"/>
      <c r="L40" s="726"/>
      <c r="M40" s="726"/>
      <c r="N40" s="726"/>
      <c r="O40" s="726"/>
      <c r="P40" s="726"/>
      <c r="Q40" s="726"/>
      <c r="R40" s="723"/>
    </row>
    <row r="41" spans="1:18" ht="12" customHeight="1">
      <c r="A41" s="723" t="s">
        <v>313</v>
      </c>
      <c r="B41" s="724" t="s">
        <v>1276</v>
      </c>
      <c r="C41" s="727" t="s">
        <v>1277</v>
      </c>
      <c r="D41" s="720" t="s">
        <v>4</v>
      </c>
      <c r="E41" s="721"/>
      <c r="F41" s="721">
        <f t="shared" si="1"/>
        <v>0</v>
      </c>
      <c r="G41" s="726"/>
      <c r="H41" s="726"/>
      <c r="I41" s="726"/>
      <c r="J41" s="726"/>
      <c r="K41" s="726"/>
      <c r="L41" s="726"/>
      <c r="M41" s="726"/>
      <c r="N41" s="726"/>
      <c r="O41" s="726"/>
      <c r="P41" s="726"/>
      <c r="Q41" s="726"/>
      <c r="R41" s="723"/>
    </row>
    <row r="42" spans="1:18" ht="12" customHeight="1">
      <c r="A42" s="723"/>
      <c r="B42" s="724"/>
      <c r="C42" s="725"/>
      <c r="D42" s="714" t="s">
        <v>976</v>
      </c>
      <c r="E42" s="721"/>
      <c r="F42" s="721">
        <f t="shared" si="1"/>
        <v>0</v>
      </c>
      <c r="G42" s="726"/>
      <c r="H42" s="726"/>
      <c r="I42" s="726"/>
      <c r="J42" s="726"/>
      <c r="K42" s="726"/>
      <c r="L42" s="726"/>
      <c r="M42" s="726"/>
      <c r="N42" s="726"/>
      <c r="O42" s="726"/>
      <c r="P42" s="726"/>
      <c r="Q42" s="726"/>
      <c r="R42" s="723"/>
    </row>
    <row r="43" spans="1:18" ht="12" customHeight="1">
      <c r="A43" s="723"/>
      <c r="B43" s="724"/>
      <c r="C43" s="725"/>
      <c r="D43" s="714" t="s">
        <v>1032</v>
      </c>
      <c r="E43" s="721"/>
      <c r="F43" s="721">
        <f t="shared" si="1"/>
        <v>7554</v>
      </c>
      <c r="G43" s="726"/>
      <c r="H43" s="726"/>
      <c r="I43" s="726"/>
      <c r="J43" s="726"/>
      <c r="K43" s="726">
        <v>7554</v>
      </c>
      <c r="L43" s="726"/>
      <c r="M43" s="726"/>
      <c r="N43" s="726"/>
      <c r="O43" s="726"/>
      <c r="P43" s="726"/>
      <c r="Q43" s="726"/>
      <c r="R43" s="723"/>
    </row>
    <row r="44" spans="1:18" ht="12" customHeight="1">
      <c r="A44" s="723" t="s">
        <v>313</v>
      </c>
      <c r="B44" s="724" t="s">
        <v>193</v>
      </c>
      <c r="C44" s="725" t="s">
        <v>410</v>
      </c>
      <c r="D44" s="720" t="s">
        <v>4</v>
      </c>
      <c r="E44" s="721"/>
      <c r="F44" s="721">
        <f t="shared" si="1"/>
        <v>3612</v>
      </c>
      <c r="G44" s="726"/>
      <c r="H44" s="726"/>
      <c r="I44" s="726"/>
      <c r="J44" s="726"/>
      <c r="K44" s="726">
        <v>3612</v>
      </c>
      <c r="L44" s="726"/>
      <c r="M44" s="726"/>
      <c r="N44" s="726"/>
      <c r="O44" s="726"/>
      <c r="P44" s="726"/>
      <c r="Q44" s="726"/>
      <c r="R44" s="723"/>
    </row>
    <row r="45" spans="1:18" ht="12" customHeight="1">
      <c r="A45" s="723"/>
      <c r="B45" s="724"/>
      <c r="C45" s="725"/>
      <c r="D45" s="714" t="s">
        <v>976</v>
      </c>
      <c r="E45" s="721"/>
      <c r="F45" s="721">
        <f t="shared" si="1"/>
        <v>12979</v>
      </c>
      <c r="G45" s="726"/>
      <c r="H45" s="726"/>
      <c r="I45" s="726"/>
      <c r="J45" s="726"/>
      <c r="K45" s="726">
        <v>12979</v>
      </c>
      <c r="L45" s="726"/>
      <c r="M45" s="726"/>
      <c r="N45" s="726"/>
      <c r="O45" s="726"/>
      <c r="P45" s="726"/>
      <c r="Q45" s="726"/>
      <c r="R45" s="723"/>
    </row>
    <row r="46" spans="1:18" ht="12" customHeight="1">
      <c r="A46" s="723"/>
      <c r="B46" s="724"/>
      <c r="C46" s="725"/>
      <c r="D46" s="714" t="s">
        <v>1032</v>
      </c>
      <c r="E46" s="721"/>
      <c r="F46" s="721">
        <f t="shared" si="1"/>
        <v>12420</v>
      </c>
      <c r="G46" s="726"/>
      <c r="H46" s="726"/>
      <c r="I46" s="726"/>
      <c r="J46" s="726"/>
      <c r="K46" s="726">
        <v>12420</v>
      </c>
      <c r="L46" s="726"/>
      <c r="M46" s="726"/>
      <c r="N46" s="726"/>
      <c r="O46" s="726"/>
      <c r="P46" s="726"/>
      <c r="Q46" s="726"/>
      <c r="R46" s="723"/>
    </row>
    <row r="47" spans="1:18" ht="12" customHeight="1">
      <c r="A47" s="723" t="s">
        <v>316</v>
      </c>
      <c r="B47" s="724" t="s">
        <v>194</v>
      </c>
      <c r="C47" s="725" t="s">
        <v>412</v>
      </c>
      <c r="D47" s="720" t="s">
        <v>4</v>
      </c>
      <c r="E47" s="721"/>
      <c r="F47" s="721">
        <f t="shared" si="1"/>
        <v>907</v>
      </c>
      <c r="G47" s="726">
        <v>600</v>
      </c>
      <c r="H47" s="726">
        <v>307</v>
      </c>
      <c r="I47" s="726"/>
      <c r="J47" s="726"/>
      <c r="K47" s="726"/>
      <c r="L47" s="726"/>
      <c r="M47" s="726"/>
      <c r="N47" s="726"/>
      <c r="O47" s="726"/>
      <c r="P47" s="726"/>
      <c r="Q47" s="726"/>
      <c r="R47" s="723"/>
    </row>
    <row r="48" spans="1:18" ht="12" customHeight="1">
      <c r="A48" s="723"/>
      <c r="B48" s="724"/>
      <c r="C48" s="725"/>
      <c r="D48" s="714" t="s">
        <v>976</v>
      </c>
      <c r="E48" s="721"/>
      <c r="F48" s="721">
        <f t="shared" si="1"/>
        <v>907</v>
      </c>
      <c r="G48" s="726">
        <v>500</v>
      </c>
      <c r="H48" s="726">
        <v>307</v>
      </c>
      <c r="I48" s="726"/>
      <c r="J48" s="726"/>
      <c r="K48" s="726">
        <v>100</v>
      </c>
      <c r="L48" s="726"/>
      <c r="M48" s="726"/>
      <c r="N48" s="726"/>
      <c r="O48" s="726"/>
      <c r="P48" s="726"/>
      <c r="Q48" s="726"/>
      <c r="R48" s="723"/>
    </row>
    <row r="49" spans="1:18" ht="12" customHeight="1">
      <c r="A49" s="723"/>
      <c r="B49" s="724"/>
      <c r="C49" s="725"/>
      <c r="D49" s="714" t="s">
        <v>1032</v>
      </c>
      <c r="E49" s="721"/>
      <c r="F49" s="721">
        <f t="shared" si="1"/>
        <v>3311</v>
      </c>
      <c r="G49" s="726">
        <v>256</v>
      </c>
      <c r="H49" s="726"/>
      <c r="I49" s="726"/>
      <c r="J49" s="726"/>
      <c r="K49" s="726">
        <v>3055</v>
      </c>
      <c r="L49" s="726"/>
      <c r="M49" s="726"/>
      <c r="N49" s="726"/>
      <c r="O49" s="726"/>
      <c r="P49" s="726"/>
      <c r="Q49" s="726"/>
      <c r="R49" s="723"/>
    </row>
    <row r="50" spans="1:18" ht="12" customHeight="1">
      <c r="A50" s="723" t="s">
        <v>313</v>
      </c>
      <c r="B50" s="724" t="s">
        <v>480</v>
      </c>
      <c r="C50" s="725" t="s">
        <v>481</v>
      </c>
      <c r="D50" s="720" t="s">
        <v>4</v>
      </c>
      <c r="E50" s="721"/>
      <c r="F50" s="721">
        <f t="shared" si="1"/>
        <v>11936</v>
      </c>
      <c r="G50" s="726">
        <v>9400</v>
      </c>
      <c r="H50" s="726">
        <v>2536</v>
      </c>
      <c r="I50" s="726"/>
      <c r="J50" s="726"/>
      <c r="K50" s="726"/>
      <c r="L50" s="726"/>
      <c r="M50" s="726"/>
      <c r="N50" s="726"/>
      <c r="O50" s="726"/>
      <c r="P50" s="726"/>
      <c r="Q50" s="726"/>
      <c r="R50" s="723"/>
    </row>
    <row r="51" spans="1:18" ht="12" customHeight="1">
      <c r="A51" s="723"/>
      <c r="B51" s="724"/>
      <c r="C51" s="725"/>
      <c r="D51" s="714" t="s">
        <v>976</v>
      </c>
      <c r="E51" s="721"/>
      <c r="F51" s="721">
        <f t="shared" si="1"/>
        <v>11936</v>
      </c>
      <c r="G51" s="726">
        <v>9400</v>
      </c>
      <c r="H51" s="726">
        <v>2536</v>
      </c>
      <c r="I51" s="726"/>
      <c r="J51" s="726"/>
      <c r="K51" s="726"/>
      <c r="L51" s="726"/>
      <c r="M51" s="726"/>
      <c r="N51" s="726"/>
      <c r="O51" s="726"/>
      <c r="P51" s="726"/>
      <c r="Q51" s="726"/>
      <c r="R51" s="723"/>
    </row>
    <row r="52" spans="1:18" ht="12" customHeight="1">
      <c r="A52" s="723"/>
      <c r="B52" s="724"/>
      <c r="C52" s="725"/>
      <c r="D52" s="714" t="s">
        <v>1032</v>
      </c>
      <c r="E52" s="721"/>
      <c r="F52" s="721">
        <f t="shared" si="1"/>
        <v>6236</v>
      </c>
      <c r="G52" s="726">
        <v>4982</v>
      </c>
      <c r="H52" s="726">
        <v>1254</v>
      </c>
      <c r="I52" s="726"/>
      <c r="J52" s="726"/>
      <c r="K52" s="726"/>
      <c r="L52" s="726"/>
      <c r="M52" s="726"/>
      <c r="N52" s="726"/>
      <c r="O52" s="726"/>
      <c r="P52" s="726"/>
      <c r="Q52" s="726"/>
      <c r="R52" s="723"/>
    </row>
    <row r="53" spans="1:18" ht="12" customHeight="1">
      <c r="A53" s="723" t="s">
        <v>313</v>
      </c>
      <c r="B53" s="724" t="s">
        <v>713</v>
      </c>
      <c r="C53" s="725" t="s">
        <v>714</v>
      </c>
      <c r="D53" s="714" t="s">
        <v>4</v>
      </c>
      <c r="E53" s="721"/>
      <c r="F53" s="721">
        <f t="shared" si="1"/>
        <v>0</v>
      </c>
      <c r="G53" s="726"/>
      <c r="H53" s="726"/>
      <c r="I53" s="726"/>
      <c r="J53" s="726"/>
      <c r="K53" s="726"/>
      <c r="L53" s="726"/>
      <c r="M53" s="726"/>
      <c r="N53" s="726"/>
      <c r="O53" s="726"/>
      <c r="P53" s="726"/>
      <c r="Q53" s="726"/>
      <c r="R53" s="723"/>
    </row>
    <row r="54" spans="1:18" ht="12" customHeight="1">
      <c r="A54" s="723"/>
      <c r="B54" s="724"/>
      <c r="C54" s="725"/>
      <c r="D54" s="714" t="s">
        <v>976</v>
      </c>
      <c r="E54" s="721"/>
      <c r="F54" s="721">
        <f t="shared" si="1"/>
        <v>6560</v>
      </c>
      <c r="G54" s="726"/>
      <c r="H54" s="726"/>
      <c r="I54" s="726"/>
      <c r="J54" s="726"/>
      <c r="K54" s="726">
        <v>6560</v>
      </c>
      <c r="L54" s="726"/>
      <c r="M54" s="726"/>
      <c r="N54" s="726"/>
      <c r="O54" s="726"/>
      <c r="P54" s="726"/>
      <c r="Q54" s="726"/>
      <c r="R54" s="723"/>
    </row>
    <row r="55" spans="1:18" ht="12" customHeight="1">
      <c r="A55" s="723"/>
      <c r="B55" s="724"/>
      <c r="C55" s="725"/>
      <c r="D55" s="714" t="s">
        <v>1032</v>
      </c>
      <c r="E55" s="721"/>
      <c r="F55" s="721">
        <f t="shared" si="1"/>
        <v>6560</v>
      </c>
      <c r="G55" s="726"/>
      <c r="H55" s="726"/>
      <c r="I55" s="726"/>
      <c r="J55" s="726"/>
      <c r="K55" s="726">
        <v>6560</v>
      </c>
      <c r="L55" s="726"/>
      <c r="M55" s="726"/>
      <c r="N55" s="726"/>
      <c r="O55" s="726"/>
      <c r="P55" s="726"/>
      <c r="Q55" s="726"/>
      <c r="R55" s="723"/>
    </row>
    <row r="56" spans="1:18" ht="12" customHeight="1">
      <c r="A56" s="1192" t="s">
        <v>638</v>
      </c>
      <c r="B56" s="1192"/>
      <c r="C56" s="1192"/>
      <c r="D56" s="720" t="s">
        <v>4</v>
      </c>
      <c r="E56" s="721">
        <f aca="true" t="shared" si="2" ref="E56:R56">(E8+E11+E14+E20+E23+E26+E29+E32+E35+E38+E44+E47+E50)</f>
        <v>629720</v>
      </c>
      <c r="F56" s="721">
        <f t="shared" si="2"/>
        <v>629720</v>
      </c>
      <c r="G56" s="721">
        <f t="shared" si="2"/>
        <v>345270</v>
      </c>
      <c r="H56" s="721">
        <f t="shared" si="2"/>
        <v>98404</v>
      </c>
      <c r="I56" s="721">
        <f t="shared" si="2"/>
        <v>137291</v>
      </c>
      <c r="J56" s="721">
        <f t="shared" si="2"/>
        <v>2000</v>
      </c>
      <c r="K56" s="721">
        <f t="shared" si="2"/>
        <v>14112</v>
      </c>
      <c r="L56" s="721">
        <f t="shared" si="2"/>
        <v>0</v>
      </c>
      <c r="M56" s="721">
        <f t="shared" si="2"/>
        <v>0</v>
      </c>
      <c r="N56" s="721">
        <f t="shared" si="2"/>
        <v>31643</v>
      </c>
      <c r="O56" s="721">
        <f t="shared" si="2"/>
        <v>1000</v>
      </c>
      <c r="P56" s="721">
        <f t="shared" si="2"/>
        <v>0</v>
      </c>
      <c r="Q56" s="721">
        <f t="shared" si="2"/>
        <v>0</v>
      </c>
      <c r="R56" s="721">
        <f t="shared" si="2"/>
        <v>0</v>
      </c>
    </row>
    <row r="57" spans="1:18" ht="12" customHeight="1">
      <c r="A57" s="728"/>
      <c r="B57" s="728"/>
      <c r="C57" s="728"/>
      <c r="D57" s="714" t="s">
        <v>976</v>
      </c>
      <c r="E57" s="721">
        <f aca="true" t="shared" si="3" ref="E57:R58">(E9+E12+E15+E21+E24+E27+E30+E33+E36+E39+E45+E48+E51+E54)</f>
        <v>608670</v>
      </c>
      <c r="F57" s="721">
        <f t="shared" si="3"/>
        <v>608670</v>
      </c>
      <c r="G57" s="721">
        <f t="shared" si="3"/>
        <v>341164</v>
      </c>
      <c r="H57" s="721">
        <f t="shared" si="3"/>
        <v>98580</v>
      </c>
      <c r="I57" s="721">
        <f t="shared" si="3"/>
        <v>117910</v>
      </c>
      <c r="J57" s="721">
        <f t="shared" si="3"/>
        <v>363</v>
      </c>
      <c r="K57" s="721">
        <f t="shared" si="3"/>
        <v>30147</v>
      </c>
      <c r="L57" s="721">
        <f t="shared" si="3"/>
        <v>0</v>
      </c>
      <c r="M57" s="721">
        <f t="shared" si="3"/>
        <v>0</v>
      </c>
      <c r="N57" s="721">
        <f t="shared" si="3"/>
        <v>19506</v>
      </c>
      <c r="O57" s="721">
        <f t="shared" si="3"/>
        <v>1000</v>
      </c>
      <c r="P57" s="721">
        <f t="shared" si="3"/>
        <v>0</v>
      </c>
      <c r="Q57" s="721">
        <f t="shared" si="3"/>
        <v>0</v>
      </c>
      <c r="R57" s="721">
        <f t="shared" si="3"/>
        <v>0</v>
      </c>
    </row>
    <row r="58" spans="1:18" ht="12" customHeight="1">
      <c r="A58" s="728"/>
      <c r="B58" s="728"/>
      <c r="C58" s="728"/>
      <c r="D58" s="714" t="s">
        <v>1032</v>
      </c>
      <c r="E58" s="721">
        <f>(E10+E13+E16+E22+E25+E28+E31+E34+E37+E40+E46+E49+E52+E55)</f>
        <v>585616</v>
      </c>
      <c r="F58" s="721">
        <f>(F10+F13+F16+F22+F25+F28+F31+F34+F37+F40+F46+F49+F52+F5+F411+F43+F55+F19)</f>
        <v>561042</v>
      </c>
      <c r="G58" s="721">
        <f>(G10+G13+G16+G22+G25+G28+G31+G34+G37+G40+G46+G49+G52+G55)</f>
        <v>317812</v>
      </c>
      <c r="H58" s="721">
        <f>(H10+H13+H16+H22+H25+H28+H31+H34+H37+H40+H46+H49+H52+H55)</f>
        <v>92836</v>
      </c>
      <c r="I58" s="721">
        <f>(I10+I13+I16+I22+I25+I28+I31+I34+I37+I40+I46+I49+I52+I55)</f>
        <v>111356</v>
      </c>
      <c r="J58" s="721">
        <f>J19+J10</f>
        <v>359</v>
      </c>
      <c r="K58" s="721">
        <f>(K10+K13+K16+K22+K25+K28+K31+K34+K37+K40+K46+K49+K52+K55+K43)</f>
        <v>29589</v>
      </c>
      <c r="L58" s="721">
        <f t="shared" si="3"/>
        <v>0</v>
      </c>
      <c r="M58" s="721">
        <f t="shared" si="3"/>
        <v>0</v>
      </c>
      <c r="N58" s="721">
        <f t="shared" si="3"/>
        <v>8490</v>
      </c>
      <c r="O58" s="721">
        <f t="shared" si="3"/>
        <v>600</v>
      </c>
      <c r="P58" s="721">
        <f t="shared" si="3"/>
        <v>0</v>
      </c>
      <c r="Q58" s="721">
        <f t="shared" si="3"/>
        <v>0</v>
      </c>
      <c r="R58" s="721">
        <f t="shared" si="3"/>
        <v>0</v>
      </c>
    </row>
    <row r="59" spans="1:18" ht="12" customHeight="1">
      <c r="A59" s="723"/>
      <c r="B59" s="724"/>
      <c r="C59" s="725"/>
      <c r="D59" s="720"/>
      <c r="E59" s="721"/>
      <c r="F59" s="721"/>
      <c r="G59" s="726"/>
      <c r="H59" s="726"/>
      <c r="I59" s="726"/>
      <c r="J59" s="726"/>
      <c r="K59" s="726"/>
      <c r="L59" s="726"/>
      <c r="M59" s="726"/>
      <c r="N59" s="726"/>
      <c r="O59" s="726"/>
      <c r="P59" s="726"/>
      <c r="Q59" s="726"/>
      <c r="R59" s="723"/>
    </row>
    <row r="60" spans="1:18" ht="12" customHeight="1">
      <c r="A60" s="1192" t="s">
        <v>197</v>
      </c>
      <c r="B60" s="1192"/>
      <c r="C60" s="1192"/>
      <c r="D60" s="720"/>
      <c r="E60" s="721"/>
      <c r="F60" s="721"/>
      <c r="G60" s="726"/>
      <c r="H60" s="726"/>
      <c r="I60" s="726"/>
      <c r="J60" s="726"/>
      <c r="K60" s="726"/>
      <c r="L60" s="726"/>
      <c r="M60" s="726"/>
      <c r="N60" s="726"/>
      <c r="O60" s="726"/>
      <c r="P60" s="726"/>
      <c r="Q60" s="726"/>
      <c r="R60" s="723"/>
    </row>
    <row r="61" spans="1:18" ht="12" customHeight="1">
      <c r="A61" s="723" t="s">
        <v>309</v>
      </c>
      <c r="B61" s="724" t="s">
        <v>17</v>
      </c>
      <c r="C61" s="725" t="s">
        <v>186</v>
      </c>
      <c r="D61" s="720" t="s">
        <v>4</v>
      </c>
      <c r="E61" s="721">
        <v>9289</v>
      </c>
      <c r="F61" s="721">
        <f aca="true" t="shared" si="4" ref="F61:F78">G61+H61+I61+J61+K61+L61+M61+N61+O61+P61+Q61+R61</f>
        <v>29265</v>
      </c>
      <c r="G61" s="722">
        <v>21629</v>
      </c>
      <c r="H61" s="722">
        <v>5555</v>
      </c>
      <c r="I61" s="722">
        <v>2081</v>
      </c>
      <c r="J61" s="722"/>
      <c r="K61" s="722"/>
      <c r="L61" s="722"/>
      <c r="M61" s="722"/>
      <c r="N61" s="722"/>
      <c r="O61" s="722"/>
      <c r="P61" s="722"/>
      <c r="Q61" s="722"/>
      <c r="R61" s="723"/>
    </row>
    <row r="62" spans="1:18" ht="12" customHeight="1">
      <c r="A62" s="723"/>
      <c r="B62" s="724"/>
      <c r="C62" s="725"/>
      <c r="D62" s="714" t="s">
        <v>976</v>
      </c>
      <c r="E62" s="721">
        <v>8771</v>
      </c>
      <c r="F62" s="721">
        <f t="shared" si="4"/>
        <v>30053</v>
      </c>
      <c r="G62" s="722">
        <v>20917</v>
      </c>
      <c r="H62" s="722">
        <v>5886</v>
      </c>
      <c r="I62" s="722">
        <v>3250</v>
      </c>
      <c r="J62" s="722"/>
      <c r="K62" s="722"/>
      <c r="L62" s="722"/>
      <c r="M62" s="722"/>
      <c r="N62" s="722"/>
      <c r="O62" s="722"/>
      <c r="P62" s="722"/>
      <c r="Q62" s="722"/>
      <c r="R62" s="723"/>
    </row>
    <row r="63" spans="1:18" ht="12" customHeight="1">
      <c r="A63" s="723"/>
      <c r="B63" s="724"/>
      <c r="C63" s="725"/>
      <c r="D63" s="714" t="s">
        <v>1032</v>
      </c>
      <c r="E63" s="721">
        <v>8629</v>
      </c>
      <c r="F63" s="721">
        <f t="shared" si="4"/>
        <v>30053</v>
      </c>
      <c r="G63" s="722">
        <v>20918</v>
      </c>
      <c r="H63" s="722">
        <v>5885</v>
      </c>
      <c r="I63" s="722">
        <v>3250</v>
      </c>
      <c r="J63" s="722"/>
      <c r="K63" s="722"/>
      <c r="L63" s="722"/>
      <c r="M63" s="722"/>
      <c r="N63" s="722"/>
      <c r="O63" s="722"/>
      <c r="P63" s="722"/>
      <c r="Q63" s="722"/>
      <c r="R63" s="723"/>
    </row>
    <row r="64" spans="1:18" ht="12" customHeight="1">
      <c r="A64" s="723" t="s">
        <v>313</v>
      </c>
      <c r="B64" s="724" t="s">
        <v>196</v>
      </c>
      <c r="C64" s="725" t="s">
        <v>333</v>
      </c>
      <c r="D64" s="720" t="s">
        <v>4</v>
      </c>
      <c r="E64" s="721">
        <v>20676</v>
      </c>
      <c r="F64" s="721">
        <f t="shared" si="4"/>
        <v>0</v>
      </c>
      <c r="G64" s="722"/>
      <c r="H64" s="722"/>
      <c r="I64" s="722"/>
      <c r="J64" s="722"/>
      <c r="K64" s="722"/>
      <c r="L64" s="722"/>
      <c r="M64" s="722"/>
      <c r="N64" s="722"/>
      <c r="O64" s="722"/>
      <c r="P64" s="722"/>
      <c r="Q64" s="722"/>
      <c r="R64" s="723"/>
    </row>
    <row r="65" spans="1:18" ht="12" customHeight="1">
      <c r="A65" s="723"/>
      <c r="B65" s="724"/>
      <c r="C65" s="725"/>
      <c r="D65" s="714" t="s">
        <v>976</v>
      </c>
      <c r="E65" s="721">
        <v>21630</v>
      </c>
      <c r="F65" s="721">
        <f t="shared" si="4"/>
        <v>0</v>
      </c>
      <c r="G65" s="722"/>
      <c r="H65" s="722"/>
      <c r="I65" s="722"/>
      <c r="J65" s="722"/>
      <c r="K65" s="722"/>
      <c r="L65" s="722"/>
      <c r="M65" s="722"/>
      <c r="N65" s="722"/>
      <c r="O65" s="722"/>
      <c r="P65" s="722"/>
      <c r="Q65" s="722"/>
      <c r="R65" s="723"/>
    </row>
    <row r="66" spans="1:18" ht="12" customHeight="1">
      <c r="A66" s="723"/>
      <c r="B66" s="724"/>
      <c r="C66" s="725"/>
      <c r="D66" s="714" t="s">
        <v>1032</v>
      </c>
      <c r="E66" s="721">
        <v>23486</v>
      </c>
      <c r="F66" s="721">
        <f t="shared" si="4"/>
        <v>0</v>
      </c>
      <c r="G66" s="722"/>
      <c r="H66" s="722"/>
      <c r="I66" s="722"/>
      <c r="J66" s="722"/>
      <c r="K66" s="722"/>
      <c r="L66" s="722"/>
      <c r="M66" s="722"/>
      <c r="N66" s="722"/>
      <c r="O66" s="722"/>
      <c r="P66" s="722"/>
      <c r="Q66" s="722"/>
      <c r="R66" s="723"/>
    </row>
    <row r="67" spans="1:18" ht="12" customHeight="1">
      <c r="A67" s="723" t="s">
        <v>313</v>
      </c>
      <c r="B67" s="724" t="s">
        <v>192</v>
      </c>
      <c r="C67" s="725" t="s">
        <v>406</v>
      </c>
      <c r="D67" s="720" t="s">
        <v>4</v>
      </c>
      <c r="E67" s="721"/>
      <c r="F67" s="721">
        <f t="shared" si="4"/>
        <v>576</v>
      </c>
      <c r="G67" s="722"/>
      <c r="H67" s="722"/>
      <c r="I67" s="722"/>
      <c r="J67" s="722"/>
      <c r="K67" s="722">
        <v>576</v>
      </c>
      <c r="L67" s="722"/>
      <c r="M67" s="722"/>
      <c r="N67" s="722"/>
      <c r="O67" s="722"/>
      <c r="P67" s="722"/>
      <c r="Q67" s="722"/>
      <c r="R67" s="723"/>
    </row>
    <row r="68" spans="1:18" ht="12" customHeight="1">
      <c r="A68" s="723"/>
      <c r="B68" s="724"/>
      <c r="C68" s="725"/>
      <c r="D68" s="714" t="s">
        <v>976</v>
      </c>
      <c r="E68" s="721">
        <v>519</v>
      </c>
      <c r="F68" s="721">
        <f t="shared" si="4"/>
        <v>723</v>
      </c>
      <c r="G68" s="722"/>
      <c r="H68" s="722"/>
      <c r="I68" s="722"/>
      <c r="J68" s="722"/>
      <c r="K68" s="722">
        <v>723</v>
      </c>
      <c r="L68" s="722"/>
      <c r="M68" s="722"/>
      <c r="N68" s="722"/>
      <c r="O68" s="722"/>
      <c r="P68" s="722"/>
      <c r="Q68" s="722"/>
      <c r="R68" s="723"/>
    </row>
    <row r="69" spans="1:18" ht="12" customHeight="1">
      <c r="A69" s="723"/>
      <c r="B69" s="724"/>
      <c r="C69" s="725"/>
      <c r="D69" s="714" t="s">
        <v>1032</v>
      </c>
      <c r="E69" s="721"/>
      <c r="F69" s="721">
        <f t="shared" si="4"/>
        <v>0</v>
      </c>
      <c r="G69" s="722"/>
      <c r="H69" s="722"/>
      <c r="I69" s="722"/>
      <c r="J69" s="722"/>
      <c r="K69" s="722"/>
      <c r="L69" s="722"/>
      <c r="M69" s="722"/>
      <c r="N69" s="722"/>
      <c r="O69" s="722"/>
      <c r="P69" s="722"/>
      <c r="Q69" s="722"/>
      <c r="R69" s="723"/>
    </row>
    <row r="70" spans="1:18" ht="12" customHeight="1">
      <c r="A70" s="723" t="s">
        <v>313</v>
      </c>
      <c r="B70" s="724" t="s">
        <v>1276</v>
      </c>
      <c r="C70" s="727" t="s">
        <v>1277</v>
      </c>
      <c r="D70" s="720" t="s">
        <v>4</v>
      </c>
      <c r="E70" s="721"/>
      <c r="F70" s="721">
        <f t="shared" si="4"/>
        <v>0</v>
      </c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3"/>
    </row>
    <row r="71" spans="1:18" ht="12" customHeight="1">
      <c r="A71" s="723"/>
      <c r="B71" s="724"/>
      <c r="C71" s="725"/>
      <c r="D71" s="714" t="s">
        <v>976</v>
      </c>
      <c r="E71" s="721"/>
      <c r="F71" s="721">
        <f t="shared" si="4"/>
        <v>0</v>
      </c>
      <c r="G71" s="722"/>
      <c r="H71" s="722"/>
      <c r="I71" s="722"/>
      <c r="J71" s="722"/>
      <c r="K71" s="722"/>
      <c r="L71" s="722"/>
      <c r="M71" s="722"/>
      <c r="N71" s="722"/>
      <c r="O71" s="722"/>
      <c r="P71" s="722"/>
      <c r="Q71" s="722"/>
      <c r="R71" s="723"/>
    </row>
    <row r="72" spans="1:18" ht="12" customHeight="1">
      <c r="A72" s="723"/>
      <c r="B72" s="724"/>
      <c r="C72" s="725"/>
      <c r="D72" s="714" t="s">
        <v>1032</v>
      </c>
      <c r="E72" s="721">
        <v>517</v>
      </c>
      <c r="F72" s="721">
        <f t="shared" si="4"/>
        <v>646</v>
      </c>
      <c r="G72" s="722"/>
      <c r="H72" s="722"/>
      <c r="I72" s="722"/>
      <c r="J72" s="722"/>
      <c r="K72" s="722">
        <v>646</v>
      </c>
      <c r="L72" s="722"/>
      <c r="M72" s="722"/>
      <c r="N72" s="722"/>
      <c r="O72" s="722"/>
      <c r="P72" s="722"/>
      <c r="Q72" s="722"/>
      <c r="R72" s="723"/>
    </row>
    <row r="73" spans="1:18" ht="12" customHeight="1">
      <c r="A73" s="723" t="s">
        <v>313</v>
      </c>
      <c r="B73" s="724" t="s">
        <v>193</v>
      </c>
      <c r="C73" s="725" t="s">
        <v>410</v>
      </c>
      <c r="D73" s="720" t="s">
        <v>4</v>
      </c>
      <c r="E73" s="721"/>
      <c r="F73" s="721">
        <f t="shared" si="4"/>
        <v>124</v>
      </c>
      <c r="G73" s="722"/>
      <c r="H73" s="722"/>
      <c r="I73" s="722"/>
      <c r="J73" s="722"/>
      <c r="K73" s="722">
        <v>124</v>
      </c>
      <c r="L73" s="722"/>
      <c r="M73" s="722"/>
      <c r="N73" s="722"/>
      <c r="O73" s="722"/>
      <c r="P73" s="722"/>
      <c r="Q73" s="722"/>
      <c r="R73" s="723"/>
    </row>
    <row r="74" spans="1:18" ht="12" customHeight="1">
      <c r="A74" s="723"/>
      <c r="B74" s="724"/>
      <c r="C74" s="725"/>
      <c r="D74" s="714" t="s">
        <v>976</v>
      </c>
      <c r="E74" s="721">
        <v>111</v>
      </c>
      <c r="F74" s="721">
        <f t="shared" si="4"/>
        <v>255</v>
      </c>
      <c r="G74" s="722"/>
      <c r="H74" s="722"/>
      <c r="I74" s="722"/>
      <c r="J74" s="722"/>
      <c r="K74" s="722">
        <v>255</v>
      </c>
      <c r="L74" s="722"/>
      <c r="M74" s="722"/>
      <c r="N74" s="722"/>
      <c r="O74" s="722"/>
      <c r="P74" s="722"/>
      <c r="Q74" s="722"/>
      <c r="R74" s="723"/>
    </row>
    <row r="75" spans="1:18" ht="12" customHeight="1">
      <c r="A75" s="723"/>
      <c r="B75" s="724"/>
      <c r="C75" s="725"/>
      <c r="D75" s="714" t="s">
        <v>1032</v>
      </c>
      <c r="E75" s="721">
        <v>224</v>
      </c>
      <c r="F75" s="721">
        <f t="shared" si="4"/>
        <v>255</v>
      </c>
      <c r="G75" s="722"/>
      <c r="H75" s="722"/>
      <c r="I75" s="722"/>
      <c r="J75" s="722"/>
      <c r="K75" s="722">
        <v>255</v>
      </c>
      <c r="L75" s="722"/>
      <c r="M75" s="722"/>
      <c r="N75" s="722"/>
      <c r="O75" s="722"/>
      <c r="P75" s="722"/>
      <c r="Q75" s="722"/>
      <c r="R75" s="723"/>
    </row>
    <row r="76" spans="1:18" ht="12" customHeight="1">
      <c r="A76" s="723" t="s">
        <v>316</v>
      </c>
      <c r="B76" s="724" t="s">
        <v>194</v>
      </c>
      <c r="C76" s="725" t="s">
        <v>412</v>
      </c>
      <c r="D76" s="720" t="s">
        <v>4</v>
      </c>
      <c r="E76" s="721"/>
      <c r="F76" s="721">
        <f t="shared" si="4"/>
        <v>0</v>
      </c>
      <c r="G76" s="722"/>
      <c r="H76" s="722"/>
      <c r="I76" s="722"/>
      <c r="J76" s="722"/>
      <c r="K76" s="722"/>
      <c r="L76" s="722"/>
      <c r="M76" s="722"/>
      <c r="N76" s="722"/>
      <c r="O76" s="722"/>
      <c r="P76" s="722"/>
      <c r="Q76" s="722"/>
      <c r="R76" s="723"/>
    </row>
    <row r="77" spans="1:18" ht="12" customHeight="1">
      <c r="A77" s="723"/>
      <c r="B77" s="724"/>
      <c r="C77" s="725"/>
      <c r="D77" s="714" t="s">
        <v>976</v>
      </c>
      <c r="E77" s="721"/>
      <c r="F77" s="721">
        <f t="shared" si="4"/>
        <v>0</v>
      </c>
      <c r="G77" s="722"/>
      <c r="H77" s="722"/>
      <c r="I77" s="722"/>
      <c r="J77" s="722"/>
      <c r="K77" s="722"/>
      <c r="L77" s="722"/>
      <c r="M77" s="722"/>
      <c r="N77" s="722"/>
      <c r="O77" s="722"/>
      <c r="P77" s="722"/>
      <c r="Q77" s="722"/>
      <c r="R77" s="723"/>
    </row>
    <row r="78" spans="1:18" ht="12" customHeight="1">
      <c r="A78" s="723"/>
      <c r="B78" s="724"/>
      <c r="C78" s="725"/>
      <c r="D78" s="714" t="s">
        <v>1032</v>
      </c>
      <c r="E78" s="721">
        <v>69</v>
      </c>
      <c r="F78" s="721">
        <f t="shared" si="4"/>
        <v>77</v>
      </c>
      <c r="G78" s="722"/>
      <c r="H78" s="722"/>
      <c r="I78" s="722"/>
      <c r="J78" s="722"/>
      <c r="K78" s="722">
        <v>77</v>
      </c>
      <c r="L78" s="722"/>
      <c r="M78" s="722"/>
      <c r="N78" s="722"/>
      <c r="O78" s="722"/>
      <c r="P78" s="722"/>
      <c r="Q78" s="722"/>
      <c r="R78" s="723"/>
    </row>
    <row r="79" spans="1:18" ht="12" customHeight="1">
      <c r="A79" s="1192" t="s">
        <v>198</v>
      </c>
      <c r="B79" s="1192"/>
      <c r="C79" s="1192"/>
      <c r="D79" s="720" t="s">
        <v>4</v>
      </c>
      <c r="E79" s="721">
        <f aca="true" t="shared" si="5" ref="E79:R80">(E61+E64+E67+E73)</f>
        <v>29965</v>
      </c>
      <c r="F79" s="721">
        <f t="shared" si="5"/>
        <v>29965</v>
      </c>
      <c r="G79" s="721">
        <f t="shared" si="5"/>
        <v>21629</v>
      </c>
      <c r="H79" s="721">
        <f t="shared" si="5"/>
        <v>5555</v>
      </c>
      <c r="I79" s="721">
        <f t="shared" si="5"/>
        <v>2081</v>
      </c>
      <c r="J79" s="721">
        <f t="shared" si="5"/>
        <v>0</v>
      </c>
      <c r="K79" s="721">
        <f t="shared" si="5"/>
        <v>700</v>
      </c>
      <c r="L79" s="721">
        <f t="shared" si="5"/>
        <v>0</v>
      </c>
      <c r="M79" s="721">
        <f t="shared" si="5"/>
        <v>0</v>
      </c>
      <c r="N79" s="721">
        <f t="shared" si="5"/>
        <v>0</v>
      </c>
      <c r="O79" s="721">
        <f t="shared" si="5"/>
        <v>0</v>
      </c>
      <c r="P79" s="721">
        <f t="shared" si="5"/>
        <v>0</v>
      </c>
      <c r="Q79" s="721">
        <f t="shared" si="5"/>
        <v>0</v>
      </c>
      <c r="R79" s="721">
        <f t="shared" si="5"/>
        <v>0</v>
      </c>
    </row>
    <row r="80" spans="1:18" ht="12" customHeight="1">
      <c r="A80" s="723"/>
      <c r="B80" s="724"/>
      <c r="C80" s="725"/>
      <c r="D80" s="714" t="s">
        <v>782</v>
      </c>
      <c r="E80" s="721">
        <f t="shared" si="5"/>
        <v>31031</v>
      </c>
      <c r="F80" s="721">
        <f t="shared" si="5"/>
        <v>31031</v>
      </c>
      <c r="G80" s="721">
        <f t="shared" si="5"/>
        <v>20917</v>
      </c>
      <c r="H80" s="721">
        <f t="shared" si="5"/>
        <v>5886</v>
      </c>
      <c r="I80" s="721">
        <f t="shared" si="5"/>
        <v>3250</v>
      </c>
      <c r="J80" s="721">
        <f t="shared" si="5"/>
        <v>0</v>
      </c>
      <c r="K80" s="721">
        <f t="shared" si="5"/>
        <v>978</v>
      </c>
      <c r="L80" s="721"/>
      <c r="M80" s="721"/>
      <c r="N80" s="721"/>
      <c r="O80" s="721"/>
      <c r="P80" s="721"/>
      <c r="Q80" s="721"/>
      <c r="R80" s="721"/>
    </row>
    <row r="81" spans="1:18" ht="12" customHeight="1">
      <c r="A81" s="1193"/>
      <c r="B81" s="1193"/>
      <c r="C81" s="1193"/>
      <c r="D81" s="714" t="s">
        <v>1032</v>
      </c>
      <c r="E81" s="721">
        <f>(E63+E66+E69+E75+E72+E78)</f>
        <v>32925</v>
      </c>
      <c r="F81" s="721">
        <f>(F63+F66+F69+F75+F72+F78)</f>
        <v>31031</v>
      </c>
      <c r="G81" s="721">
        <f>(G63+G66+G69+G75)</f>
        <v>20918</v>
      </c>
      <c r="H81" s="721">
        <f>(H63+H66+H69+H75)</f>
        <v>5885</v>
      </c>
      <c r="I81" s="721">
        <f>(I63+I66+I69+I75)</f>
        <v>3250</v>
      </c>
      <c r="J81" s="721">
        <f>(J63+J66+J69+J75)</f>
        <v>0</v>
      </c>
      <c r="K81" s="721">
        <f>(K63+K66+K69+K75+K6+K762+K72+K78)</f>
        <v>978</v>
      </c>
      <c r="L81" s="721">
        <f aca="true" t="shared" si="6" ref="L81:R81">(L63+L66+L69+L75)</f>
        <v>0</v>
      </c>
      <c r="M81" s="721">
        <f t="shared" si="6"/>
        <v>0</v>
      </c>
      <c r="N81" s="721">
        <f t="shared" si="6"/>
        <v>0</v>
      </c>
      <c r="O81" s="721">
        <f t="shared" si="6"/>
        <v>0</v>
      </c>
      <c r="P81" s="721">
        <f t="shared" si="6"/>
        <v>0</v>
      </c>
      <c r="Q81" s="721">
        <f t="shared" si="6"/>
        <v>0</v>
      </c>
      <c r="R81" s="721">
        <f t="shared" si="6"/>
        <v>0</v>
      </c>
    </row>
    <row r="82" spans="1:18" ht="12" customHeight="1">
      <c r="A82" s="728"/>
      <c r="B82" s="728"/>
      <c r="C82" s="728"/>
      <c r="D82" s="714"/>
      <c r="E82" s="721"/>
      <c r="F82" s="721"/>
      <c r="G82" s="721"/>
      <c r="H82" s="721"/>
      <c r="I82" s="721"/>
      <c r="J82" s="721"/>
      <c r="K82" s="721"/>
      <c r="L82" s="721"/>
      <c r="M82" s="721"/>
      <c r="N82" s="721"/>
      <c r="O82" s="721"/>
      <c r="P82" s="721"/>
      <c r="Q82" s="721"/>
      <c r="R82" s="721"/>
    </row>
    <row r="83" spans="1:18" ht="12" customHeight="1">
      <c r="A83" s="1192" t="s">
        <v>551</v>
      </c>
      <c r="B83" s="1192"/>
      <c r="C83" s="1192"/>
      <c r="D83" s="729"/>
      <c r="E83" s="721"/>
      <c r="F83" s="721"/>
      <c r="G83" s="722"/>
      <c r="H83" s="722"/>
      <c r="I83" s="722"/>
      <c r="J83" s="722"/>
      <c r="K83" s="721"/>
      <c r="L83" s="721"/>
      <c r="M83" s="721"/>
      <c r="N83" s="722"/>
      <c r="O83" s="722"/>
      <c r="P83" s="722"/>
      <c r="Q83" s="722"/>
      <c r="R83" s="723"/>
    </row>
    <row r="84" spans="1:18" ht="12" customHeight="1">
      <c r="A84" s="723" t="s">
        <v>309</v>
      </c>
      <c r="B84" s="724" t="s">
        <v>17</v>
      </c>
      <c r="C84" s="725" t="s">
        <v>186</v>
      </c>
      <c r="D84" s="720" t="s">
        <v>4</v>
      </c>
      <c r="E84" s="721">
        <v>7545</v>
      </c>
      <c r="F84" s="721">
        <f aca="true" t="shared" si="7" ref="F84:F101">G84+H84+I84+J84+K84+L84+M84+N84+O84+P84+Q84+R84</f>
        <v>29062</v>
      </c>
      <c r="G84" s="722">
        <v>19597</v>
      </c>
      <c r="H84" s="722">
        <v>5265</v>
      </c>
      <c r="I84" s="722">
        <v>4200</v>
      </c>
      <c r="J84" s="722"/>
      <c r="K84" s="722"/>
      <c r="L84" s="722"/>
      <c r="M84" s="722"/>
      <c r="N84" s="722"/>
      <c r="O84" s="722"/>
      <c r="P84" s="722"/>
      <c r="Q84" s="722"/>
      <c r="R84" s="723"/>
    </row>
    <row r="85" spans="1:18" ht="12" customHeight="1">
      <c r="A85" s="723"/>
      <c r="B85" s="724"/>
      <c r="C85" s="725"/>
      <c r="D85" s="714" t="s">
        <v>976</v>
      </c>
      <c r="E85" s="721">
        <v>6840</v>
      </c>
      <c r="F85" s="721">
        <f t="shared" si="7"/>
        <v>29661</v>
      </c>
      <c r="G85" s="722">
        <v>20363</v>
      </c>
      <c r="H85" s="722">
        <v>5475</v>
      </c>
      <c r="I85" s="722">
        <v>3003</v>
      </c>
      <c r="J85" s="722"/>
      <c r="K85" s="722"/>
      <c r="L85" s="722"/>
      <c r="M85" s="722"/>
      <c r="N85" s="722">
        <v>820</v>
      </c>
      <c r="O85" s="722"/>
      <c r="P85" s="722"/>
      <c r="Q85" s="722"/>
      <c r="R85" s="723"/>
    </row>
    <row r="86" spans="1:18" ht="12" customHeight="1">
      <c r="A86" s="723"/>
      <c r="B86" s="724"/>
      <c r="C86" s="725"/>
      <c r="D86" s="714" t="s">
        <v>1032</v>
      </c>
      <c r="E86" s="721">
        <v>6728</v>
      </c>
      <c r="F86" s="721">
        <f t="shared" si="7"/>
        <v>29356</v>
      </c>
      <c r="G86" s="722">
        <v>20084</v>
      </c>
      <c r="H86" s="722">
        <v>5464</v>
      </c>
      <c r="I86" s="722">
        <v>2996</v>
      </c>
      <c r="J86" s="722"/>
      <c r="K86" s="722"/>
      <c r="L86" s="722"/>
      <c r="M86" s="722"/>
      <c r="N86" s="722">
        <v>812</v>
      </c>
      <c r="O86" s="722"/>
      <c r="P86" s="722"/>
      <c r="Q86" s="722"/>
      <c r="R86" s="723"/>
    </row>
    <row r="87" spans="1:18" ht="12" customHeight="1">
      <c r="A87" s="723" t="s">
        <v>313</v>
      </c>
      <c r="B87" s="724" t="s">
        <v>196</v>
      </c>
      <c r="C87" s="725" t="s">
        <v>333</v>
      </c>
      <c r="D87" s="720" t="s">
        <v>4</v>
      </c>
      <c r="E87" s="721">
        <v>22980</v>
      </c>
      <c r="F87" s="721">
        <f t="shared" si="7"/>
        <v>0</v>
      </c>
      <c r="G87" s="726"/>
      <c r="H87" s="726"/>
      <c r="I87" s="726"/>
      <c r="J87" s="726"/>
      <c r="K87" s="726"/>
      <c r="L87" s="726"/>
      <c r="M87" s="726"/>
      <c r="N87" s="726"/>
      <c r="O87" s="726"/>
      <c r="P87" s="726"/>
      <c r="Q87" s="726"/>
      <c r="R87" s="723"/>
    </row>
    <row r="88" spans="1:18" ht="12" customHeight="1">
      <c r="A88" s="723"/>
      <c r="B88" s="724"/>
      <c r="C88" s="725"/>
      <c r="D88" s="714" t="s">
        <v>976</v>
      </c>
      <c r="E88" s="721">
        <v>23254</v>
      </c>
      <c r="F88" s="721">
        <f t="shared" si="7"/>
        <v>0</v>
      </c>
      <c r="G88" s="726"/>
      <c r="H88" s="726"/>
      <c r="I88" s="726"/>
      <c r="J88" s="726"/>
      <c r="K88" s="726"/>
      <c r="L88" s="726"/>
      <c r="M88" s="726"/>
      <c r="N88" s="726"/>
      <c r="O88" s="726"/>
      <c r="P88" s="726"/>
      <c r="Q88" s="726"/>
      <c r="R88" s="723"/>
    </row>
    <row r="89" spans="1:18" ht="12" customHeight="1">
      <c r="A89" s="723"/>
      <c r="B89" s="724"/>
      <c r="C89" s="725"/>
      <c r="D89" s="714" t="s">
        <v>1032</v>
      </c>
      <c r="E89" s="721">
        <v>23920</v>
      </c>
      <c r="F89" s="721">
        <f t="shared" si="7"/>
        <v>0</v>
      </c>
      <c r="G89" s="726"/>
      <c r="H89" s="726"/>
      <c r="I89" s="726"/>
      <c r="J89" s="726"/>
      <c r="K89" s="726"/>
      <c r="L89" s="726"/>
      <c r="M89" s="726"/>
      <c r="N89" s="726"/>
      <c r="O89" s="726"/>
      <c r="P89" s="726"/>
      <c r="Q89" s="726"/>
      <c r="R89" s="723"/>
    </row>
    <row r="90" spans="1:18" ht="12" customHeight="1">
      <c r="A90" s="723" t="s">
        <v>313</v>
      </c>
      <c r="B90" s="724" t="s">
        <v>192</v>
      </c>
      <c r="C90" s="725" t="s">
        <v>406</v>
      </c>
      <c r="D90" s="720" t="s">
        <v>4</v>
      </c>
      <c r="E90" s="721"/>
      <c r="F90" s="721">
        <f t="shared" si="7"/>
        <v>865</v>
      </c>
      <c r="G90" s="722"/>
      <c r="H90" s="722"/>
      <c r="I90" s="722"/>
      <c r="J90" s="722"/>
      <c r="K90" s="722">
        <v>865</v>
      </c>
      <c r="L90" s="722"/>
      <c r="M90" s="722"/>
      <c r="N90" s="722"/>
      <c r="O90" s="722"/>
      <c r="P90" s="722"/>
      <c r="Q90" s="722"/>
      <c r="R90" s="723"/>
    </row>
    <row r="91" spans="1:18" ht="12" customHeight="1">
      <c r="A91" s="723"/>
      <c r="B91" s="724"/>
      <c r="C91" s="725"/>
      <c r="D91" s="714" t="s">
        <v>976</v>
      </c>
      <c r="E91" s="721">
        <v>865</v>
      </c>
      <c r="F91" s="721">
        <f t="shared" si="7"/>
        <v>1174</v>
      </c>
      <c r="G91" s="722"/>
      <c r="H91" s="722"/>
      <c r="I91" s="722"/>
      <c r="J91" s="722"/>
      <c r="K91" s="722">
        <v>1174</v>
      </c>
      <c r="L91" s="722"/>
      <c r="M91" s="722"/>
      <c r="N91" s="722"/>
      <c r="O91" s="722"/>
      <c r="P91" s="722"/>
      <c r="Q91" s="722"/>
      <c r="R91" s="723"/>
    </row>
    <row r="92" spans="1:18" ht="12" customHeight="1">
      <c r="A92" s="723"/>
      <c r="B92" s="724"/>
      <c r="C92" s="725"/>
      <c r="D92" s="714" t="s">
        <v>1032</v>
      </c>
      <c r="E92" s="721"/>
      <c r="F92" s="721">
        <f t="shared" si="7"/>
        <v>0</v>
      </c>
      <c r="G92" s="722"/>
      <c r="H92" s="722"/>
      <c r="I92" s="722"/>
      <c r="J92" s="722"/>
      <c r="K92" s="722"/>
      <c r="L92" s="722"/>
      <c r="M92" s="722"/>
      <c r="N92" s="722"/>
      <c r="O92" s="722"/>
      <c r="P92" s="722"/>
      <c r="Q92" s="722"/>
      <c r="R92" s="723"/>
    </row>
    <row r="93" spans="1:18" ht="12" customHeight="1">
      <c r="A93" s="723" t="s">
        <v>313</v>
      </c>
      <c r="B93" s="724" t="s">
        <v>1276</v>
      </c>
      <c r="C93" s="727" t="s">
        <v>1277</v>
      </c>
      <c r="D93" s="720" t="s">
        <v>4</v>
      </c>
      <c r="E93" s="721"/>
      <c r="F93" s="721">
        <f t="shared" si="7"/>
        <v>0</v>
      </c>
      <c r="G93" s="722"/>
      <c r="H93" s="722"/>
      <c r="I93" s="722"/>
      <c r="J93" s="722"/>
      <c r="K93" s="722"/>
      <c r="L93" s="722"/>
      <c r="M93" s="722"/>
      <c r="N93" s="722"/>
      <c r="O93" s="722"/>
      <c r="P93" s="722"/>
      <c r="Q93" s="722"/>
      <c r="R93" s="723"/>
    </row>
    <row r="94" spans="1:18" ht="12" customHeight="1">
      <c r="A94" s="723"/>
      <c r="B94" s="724"/>
      <c r="C94" s="725"/>
      <c r="D94" s="714" t="s">
        <v>976</v>
      </c>
      <c r="E94" s="721"/>
      <c r="F94" s="721">
        <f t="shared" si="7"/>
        <v>0</v>
      </c>
      <c r="G94" s="722"/>
      <c r="H94" s="722"/>
      <c r="I94" s="722"/>
      <c r="J94" s="722"/>
      <c r="K94" s="722"/>
      <c r="L94" s="722"/>
      <c r="M94" s="722"/>
      <c r="N94" s="722"/>
      <c r="O94" s="722"/>
      <c r="P94" s="722"/>
      <c r="Q94" s="722"/>
      <c r="R94" s="723"/>
    </row>
    <row r="95" spans="1:18" ht="12" customHeight="1">
      <c r="A95" s="723"/>
      <c r="B95" s="724"/>
      <c r="C95" s="725"/>
      <c r="D95" s="714" t="s">
        <v>1032</v>
      </c>
      <c r="E95" s="721">
        <v>807</v>
      </c>
      <c r="F95" s="721">
        <f t="shared" si="7"/>
        <v>1009</v>
      </c>
      <c r="G95" s="722"/>
      <c r="H95" s="722"/>
      <c r="I95" s="722"/>
      <c r="J95" s="722"/>
      <c r="K95" s="722">
        <v>1009</v>
      </c>
      <c r="L95" s="722"/>
      <c r="M95" s="722"/>
      <c r="N95" s="722"/>
      <c r="O95" s="722"/>
      <c r="P95" s="722"/>
      <c r="Q95" s="722"/>
      <c r="R95" s="723"/>
    </row>
    <row r="96" spans="1:18" ht="12" customHeight="1">
      <c r="A96" s="723" t="s">
        <v>313</v>
      </c>
      <c r="B96" s="724" t="s">
        <v>193</v>
      </c>
      <c r="C96" s="725" t="s">
        <v>410</v>
      </c>
      <c r="D96" s="720" t="s">
        <v>4</v>
      </c>
      <c r="E96" s="721"/>
      <c r="F96" s="721">
        <f t="shared" si="7"/>
        <v>598</v>
      </c>
      <c r="G96" s="722"/>
      <c r="H96" s="722"/>
      <c r="I96" s="722"/>
      <c r="J96" s="722"/>
      <c r="K96" s="722">
        <v>598</v>
      </c>
      <c r="L96" s="722"/>
      <c r="M96" s="722"/>
      <c r="N96" s="722"/>
      <c r="O96" s="722"/>
      <c r="P96" s="722"/>
      <c r="Q96" s="722"/>
      <c r="R96" s="723"/>
    </row>
    <row r="97" spans="1:18" ht="12" customHeight="1">
      <c r="A97" s="723"/>
      <c r="B97" s="724"/>
      <c r="C97" s="725"/>
      <c r="D97" s="714" t="s">
        <v>976</v>
      </c>
      <c r="E97" s="721">
        <v>590</v>
      </c>
      <c r="F97" s="721">
        <f t="shared" si="7"/>
        <v>714</v>
      </c>
      <c r="G97" s="722"/>
      <c r="H97" s="722"/>
      <c r="I97" s="722"/>
      <c r="J97" s="722"/>
      <c r="K97" s="722">
        <v>714</v>
      </c>
      <c r="L97" s="722"/>
      <c r="M97" s="722"/>
      <c r="N97" s="722"/>
      <c r="O97" s="722"/>
      <c r="P97" s="722"/>
      <c r="Q97" s="722"/>
      <c r="R97" s="723"/>
    </row>
    <row r="98" spans="1:18" ht="12" customHeight="1">
      <c r="A98" s="723"/>
      <c r="B98" s="724"/>
      <c r="C98" s="725"/>
      <c r="D98" s="714" t="s">
        <v>1032</v>
      </c>
      <c r="E98" s="721">
        <v>339</v>
      </c>
      <c r="F98" s="721">
        <f t="shared" si="7"/>
        <v>714</v>
      </c>
      <c r="G98" s="722"/>
      <c r="H98" s="722"/>
      <c r="I98" s="722"/>
      <c r="J98" s="722"/>
      <c r="K98" s="722">
        <v>714</v>
      </c>
      <c r="L98" s="722"/>
      <c r="M98" s="722"/>
      <c r="N98" s="722"/>
      <c r="O98" s="722"/>
      <c r="P98" s="722"/>
      <c r="Q98" s="722"/>
      <c r="R98" s="723"/>
    </row>
    <row r="99" spans="1:18" ht="12" customHeight="1">
      <c r="A99" s="723" t="s">
        <v>316</v>
      </c>
      <c r="B99" s="724" t="s">
        <v>194</v>
      </c>
      <c r="C99" s="725" t="s">
        <v>412</v>
      </c>
      <c r="D99" s="720" t="s">
        <v>4</v>
      </c>
      <c r="E99" s="721"/>
      <c r="F99" s="721">
        <f t="shared" si="7"/>
        <v>0</v>
      </c>
      <c r="G99" s="722"/>
      <c r="H99" s="722"/>
      <c r="I99" s="722"/>
      <c r="J99" s="722"/>
      <c r="K99" s="722"/>
      <c r="L99" s="722"/>
      <c r="M99" s="722"/>
      <c r="N99" s="722"/>
      <c r="O99" s="722"/>
      <c r="P99" s="722"/>
      <c r="Q99" s="722"/>
      <c r="R99" s="723"/>
    </row>
    <row r="100" spans="1:18" ht="12" customHeight="1">
      <c r="A100" s="723"/>
      <c r="B100" s="724"/>
      <c r="C100" s="725"/>
      <c r="D100" s="714" t="s">
        <v>976</v>
      </c>
      <c r="E100" s="721"/>
      <c r="F100" s="721">
        <f t="shared" si="7"/>
        <v>0</v>
      </c>
      <c r="G100" s="722"/>
      <c r="H100" s="722"/>
      <c r="I100" s="722"/>
      <c r="J100" s="722"/>
      <c r="K100" s="722"/>
      <c r="L100" s="722"/>
      <c r="M100" s="722"/>
      <c r="N100" s="722"/>
      <c r="O100" s="722"/>
      <c r="P100" s="722"/>
      <c r="Q100" s="722"/>
      <c r="R100" s="723"/>
    </row>
    <row r="101" spans="1:18" ht="12" customHeight="1">
      <c r="A101" s="723"/>
      <c r="B101" s="724"/>
      <c r="C101" s="725"/>
      <c r="D101" s="714" t="s">
        <v>1032</v>
      </c>
      <c r="E101" s="721">
        <v>146</v>
      </c>
      <c r="F101" s="721">
        <f t="shared" si="7"/>
        <v>162</v>
      </c>
      <c r="G101" s="722"/>
      <c r="H101" s="722"/>
      <c r="I101" s="722"/>
      <c r="J101" s="722"/>
      <c r="K101" s="722">
        <v>162</v>
      </c>
      <c r="L101" s="722"/>
      <c r="M101" s="722"/>
      <c r="N101" s="722"/>
      <c r="O101" s="722"/>
      <c r="P101" s="722"/>
      <c r="Q101" s="722"/>
      <c r="R101" s="723"/>
    </row>
    <row r="102" spans="1:18" ht="12" customHeight="1">
      <c r="A102" s="1192" t="s">
        <v>199</v>
      </c>
      <c r="B102" s="1192"/>
      <c r="C102" s="1192"/>
      <c r="D102" s="720" t="s">
        <v>4</v>
      </c>
      <c r="E102" s="721">
        <f aca="true" t="shared" si="8" ref="E102:R102">(E84+E87+E90+E96)</f>
        <v>30525</v>
      </c>
      <c r="F102" s="721">
        <f t="shared" si="8"/>
        <v>30525</v>
      </c>
      <c r="G102" s="721">
        <f t="shared" si="8"/>
        <v>19597</v>
      </c>
      <c r="H102" s="721">
        <f t="shared" si="8"/>
        <v>5265</v>
      </c>
      <c r="I102" s="721">
        <f t="shared" si="8"/>
        <v>4200</v>
      </c>
      <c r="J102" s="721">
        <f t="shared" si="8"/>
        <v>0</v>
      </c>
      <c r="K102" s="721">
        <f t="shared" si="8"/>
        <v>1463</v>
      </c>
      <c r="L102" s="721">
        <f t="shared" si="8"/>
        <v>0</v>
      </c>
      <c r="M102" s="721">
        <f t="shared" si="8"/>
        <v>0</v>
      </c>
      <c r="N102" s="721">
        <f t="shared" si="8"/>
        <v>0</v>
      </c>
      <c r="O102" s="721">
        <f t="shared" si="8"/>
        <v>0</v>
      </c>
      <c r="P102" s="721">
        <f t="shared" si="8"/>
        <v>0</v>
      </c>
      <c r="Q102" s="721">
        <f t="shared" si="8"/>
        <v>0</v>
      </c>
      <c r="R102" s="721">
        <f t="shared" si="8"/>
        <v>0</v>
      </c>
    </row>
    <row r="103" spans="1:18" ht="12" customHeight="1">
      <c r="A103" s="723"/>
      <c r="B103" s="724"/>
      <c r="C103" s="725"/>
      <c r="D103" s="714" t="s">
        <v>976</v>
      </c>
      <c r="E103" s="721">
        <f aca="true" t="shared" si="9" ref="E103:R103">(E85+E88+E91+E97)</f>
        <v>31549</v>
      </c>
      <c r="F103" s="721">
        <f t="shared" si="9"/>
        <v>31549</v>
      </c>
      <c r="G103" s="721">
        <f t="shared" si="9"/>
        <v>20363</v>
      </c>
      <c r="H103" s="721">
        <f t="shared" si="9"/>
        <v>5475</v>
      </c>
      <c r="I103" s="721">
        <f t="shared" si="9"/>
        <v>3003</v>
      </c>
      <c r="J103" s="721">
        <f t="shared" si="9"/>
        <v>0</v>
      </c>
      <c r="K103" s="721">
        <f t="shared" si="9"/>
        <v>1888</v>
      </c>
      <c r="L103" s="721">
        <f t="shared" si="9"/>
        <v>0</v>
      </c>
      <c r="M103" s="721">
        <f t="shared" si="9"/>
        <v>0</v>
      </c>
      <c r="N103" s="721">
        <f t="shared" si="9"/>
        <v>820</v>
      </c>
      <c r="O103" s="721">
        <f t="shared" si="9"/>
        <v>0</v>
      </c>
      <c r="P103" s="721">
        <f t="shared" si="9"/>
        <v>0</v>
      </c>
      <c r="Q103" s="721">
        <f t="shared" si="9"/>
        <v>0</v>
      </c>
      <c r="R103" s="721">
        <f t="shared" si="9"/>
        <v>0</v>
      </c>
    </row>
    <row r="104" spans="1:18" ht="12" customHeight="1">
      <c r="A104" s="723"/>
      <c r="B104" s="724"/>
      <c r="C104" s="725"/>
      <c r="D104" s="714" t="s">
        <v>1032</v>
      </c>
      <c r="E104" s="721">
        <f>(E86+E89+E92+E98+E95+E101)</f>
        <v>31940</v>
      </c>
      <c r="F104" s="721">
        <f>(F86+F89+F92+F98+F95+F101)</f>
        <v>31241</v>
      </c>
      <c r="G104" s="721">
        <f>(G86+G89+G92+G98)</f>
        <v>20084</v>
      </c>
      <c r="H104" s="721">
        <f>(H86+H89+H92+H98)</f>
        <v>5464</v>
      </c>
      <c r="I104" s="721">
        <f>(I86+I89+I92+I98)</f>
        <v>2996</v>
      </c>
      <c r="J104" s="721">
        <f>(J86+J89+J92+J98)</f>
        <v>0</v>
      </c>
      <c r="K104" s="721">
        <f>(K86+K89+K92+K98+K95+K101)</f>
        <v>1885</v>
      </c>
      <c r="L104" s="721">
        <f aca="true" t="shared" si="10" ref="L104:R104">(L86+L89+L92+L98)</f>
        <v>0</v>
      </c>
      <c r="M104" s="721">
        <f t="shared" si="10"/>
        <v>0</v>
      </c>
      <c r="N104" s="721">
        <f t="shared" si="10"/>
        <v>812</v>
      </c>
      <c r="O104" s="721">
        <f t="shared" si="10"/>
        <v>0</v>
      </c>
      <c r="P104" s="721">
        <f t="shared" si="10"/>
        <v>0</v>
      </c>
      <c r="Q104" s="721">
        <f t="shared" si="10"/>
        <v>0</v>
      </c>
      <c r="R104" s="721">
        <f t="shared" si="10"/>
        <v>0</v>
      </c>
    </row>
    <row r="105" spans="1:18" ht="12" customHeight="1">
      <c r="A105" s="1192" t="s">
        <v>552</v>
      </c>
      <c r="B105" s="1192"/>
      <c r="C105" s="1192"/>
      <c r="D105" s="720"/>
      <c r="E105" s="721"/>
      <c r="F105" s="721"/>
      <c r="G105" s="722"/>
      <c r="H105" s="722"/>
      <c r="I105" s="722"/>
      <c r="J105" s="722"/>
      <c r="K105" s="722"/>
      <c r="L105" s="722"/>
      <c r="M105" s="722"/>
      <c r="N105" s="722"/>
      <c r="O105" s="722"/>
      <c r="P105" s="722"/>
      <c r="Q105" s="722"/>
      <c r="R105" s="723"/>
    </row>
    <row r="106" spans="1:18" ht="12" customHeight="1">
      <c r="A106" s="723" t="s">
        <v>309</v>
      </c>
      <c r="B106" s="724" t="s">
        <v>17</v>
      </c>
      <c r="C106" s="725" t="s">
        <v>186</v>
      </c>
      <c r="D106" s="720" t="s">
        <v>4</v>
      </c>
      <c r="E106" s="721">
        <v>3329</v>
      </c>
      <c r="F106" s="721">
        <f aca="true" t="shared" si="11" ref="F106:F120">G106+H106+I106+J106+K106+L106+M106+N106+O106+P106+Q106+R106</f>
        <v>9821</v>
      </c>
      <c r="G106" s="726">
        <v>6228</v>
      </c>
      <c r="H106" s="726">
        <v>1663</v>
      </c>
      <c r="I106" s="726">
        <v>1739</v>
      </c>
      <c r="J106" s="726"/>
      <c r="K106" s="726"/>
      <c r="L106" s="726"/>
      <c r="M106" s="726"/>
      <c r="N106" s="726">
        <v>191</v>
      </c>
      <c r="O106" s="730"/>
      <c r="P106" s="726"/>
      <c r="Q106" s="726"/>
      <c r="R106" s="723"/>
    </row>
    <row r="107" spans="1:18" ht="12" customHeight="1">
      <c r="A107" s="723"/>
      <c r="B107" s="724"/>
      <c r="C107" s="725"/>
      <c r="D107" s="714" t="s">
        <v>976</v>
      </c>
      <c r="E107" s="721">
        <v>3301</v>
      </c>
      <c r="F107" s="721">
        <f t="shared" si="11"/>
        <v>10828</v>
      </c>
      <c r="G107" s="726">
        <v>7143</v>
      </c>
      <c r="H107" s="726">
        <v>1908</v>
      </c>
      <c r="I107" s="726">
        <v>1749</v>
      </c>
      <c r="J107" s="726"/>
      <c r="K107" s="726"/>
      <c r="L107" s="726"/>
      <c r="M107" s="726"/>
      <c r="N107" s="726">
        <v>28</v>
      </c>
      <c r="O107" s="730"/>
      <c r="P107" s="726"/>
      <c r="Q107" s="726"/>
      <c r="R107" s="723"/>
    </row>
    <row r="108" spans="1:18" ht="12" customHeight="1">
      <c r="A108" s="723"/>
      <c r="B108" s="724"/>
      <c r="C108" s="725"/>
      <c r="D108" s="714" t="s">
        <v>1032</v>
      </c>
      <c r="E108" s="721">
        <v>3338</v>
      </c>
      <c r="F108" s="721">
        <f t="shared" si="11"/>
        <v>10234</v>
      </c>
      <c r="G108" s="726">
        <v>6791</v>
      </c>
      <c r="H108" s="726">
        <v>1880</v>
      </c>
      <c r="I108" s="726">
        <v>1535</v>
      </c>
      <c r="J108" s="726"/>
      <c r="K108" s="726"/>
      <c r="L108" s="726"/>
      <c r="M108" s="726"/>
      <c r="N108" s="726">
        <v>28</v>
      </c>
      <c r="O108" s="730"/>
      <c r="P108" s="726"/>
      <c r="Q108" s="726"/>
      <c r="R108" s="723"/>
    </row>
    <row r="109" spans="1:18" ht="12" customHeight="1">
      <c r="A109" s="723" t="s">
        <v>313</v>
      </c>
      <c r="B109" s="724" t="s">
        <v>196</v>
      </c>
      <c r="C109" s="725" t="s">
        <v>333</v>
      </c>
      <c r="D109" s="720" t="s">
        <v>4</v>
      </c>
      <c r="E109" s="721">
        <v>6994</v>
      </c>
      <c r="F109" s="721">
        <f t="shared" si="11"/>
        <v>0</v>
      </c>
      <c r="G109" s="726"/>
      <c r="H109" s="726"/>
      <c r="I109" s="726"/>
      <c r="J109" s="726"/>
      <c r="K109" s="726"/>
      <c r="L109" s="726"/>
      <c r="M109" s="726"/>
      <c r="N109" s="726"/>
      <c r="O109" s="726"/>
      <c r="P109" s="726"/>
      <c r="Q109" s="726"/>
      <c r="R109" s="723"/>
    </row>
    <row r="110" spans="1:18" ht="12" customHeight="1">
      <c r="A110" s="723"/>
      <c r="B110" s="724"/>
      <c r="C110" s="725"/>
      <c r="D110" s="714" t="s">
        <v>976</v>
      </c>
      <c r="E110" s="721">
        <v>7527</v>
      </c>
      <c r="F110" s="721">
        <f t="shared" si="11"/>
        <v>0</v>
      </c>
      <c r="G110" s="726"/>
      <c r="H110" s="726"/>
      <c r="I110" s="726"/>
      <c r="J110" s="726"/>
      <c r="K110" s="726"/>
      <c r="L110" s="726"/>
      <c r="M110" s="726"/>
      <c r="N110" s="726"/>
      <c r="O110" s="726"/>
      <c r="P110" s="726"/>
      <c r="Q110" s="726"/>
      <c r="R110" s="723"/>
    </row>
    <row r="111" spans="1:18" ht="12" customHeight="1">
      <c r="A111" s="723"/>
      <c r="B111" s="724"/>
      <c r="C111" s="725"/>
      <c r="D111" s="714" t="s">
        <v>1032</v>
      </c>
      <c r="E111" s="721">
        <v>7887</v>
      </c>
      <c r="F111" s="721">
        <f t="shared" si="11"/>
        <v>0</v>
      </c>
      <c r="G111" s="726"/>
      <c r="H111" s="726"/>
      <c r="I111" s="726"/>
      <c r="J111" s="726"/>
      <c r="K111" s="726"/>
      <c r="L111" s="726"/>
      <c r="M111" s="726"/>
      <c r="N111" s="726"/>
      <c r="O111" s="726"/>
      <c r="P111" s="726"/>
      <c r="Q111" s="726"/>
      <c r="R111" s="723"/>
    </row>
    <row r="112" spans="1:18" ht="12" customHeight="1">
      <c r="A112" s="723" t="s">
        <v>313</v>
      </c>
      <c r="B112" s="724" t="s">
        <v>192</v>
      </c>
      <c r="C112" s="725" t="s">
        <v>406</v>
      </c>
      <c r="D112" s="720" t="s">
        <v>4</v>
      </c>
      <c r="E112" s="721"/>
      <c r="F112" s="721">
        <f t="shared" si="11"/>
        <v>274</v>
      </c>
      <c r="G112" s="726"/>
      <c r="H112" s="726"/>
      <c r="I112" s="726"/>
      <c r="J112" s="726"/>
      <c r="K112" s="726">
        <v>274</v>
      </c>
      <c r="L112" s="726"/>
      <c r="M112" s="726"/>
      <c r="N112" s="726"/>
      <c r="O112" s="726"/>
      <c r="P112" s="726"/>
      <c r="Q112" s="726"/>
      <c r="R112" s="723"/>
    </row>
    <row r="113" spans="1:18" ht="12" customHeight="1">
      <c r="A113" s="723"/>
      <c r="B113" s="724"/>
      <c r="C113" s="725"/>
      <c r="D113" s="714" t="s">
        <v>976</v>
      </c>
      <c r="E113" s="721">
        <v>68</v>
      </c>
      <c r="F113" s="721">
        <f t="shared" si="11"/>
        <v>68</v>
      </c>
      <c r="G113" s="726"/>
      <c r="H113" s="726"/>
      <c r="I113" s="726"/>
      <c r="J113" s="726"/>
      <c r="K113" s="726">
        <v>68</v>
      </c>
      <c r="L113" s="726"/>
      <c r="M113" s="726"/>
      <c r="N113" s="726"/>
      <c r="O113" s="726"/>
      <c r="P113" s="726"/>
      <c r="Q113" s="726"/>
      <c r="R113" s="723"/>
    </row>
    <row r="114" spans="1:18" ht="12" customHeight="1">
      <c r="A114" s="723"/>
      <c r="B114" s="724"/>
      <c r="C114" s="725"/>
      <c r="D114" s="714" t="s">
        <v>1032</v>
      </c>
      <c r="E114" s="721"/>
      <c r="F114" s="721">
        <f t="shared" si="11"/>
        <v>0</v>
      </c>
      <c r="G114" s="726"/>
      <c r="H114" s="726"/>
      <c r="I114" s="726"/>
      <c r="J114" s="726"/>
      <c r="K114" s="726"/>
      <c r="L114" s="726"/>
      <c r="M114" s="726"/>
      <c r="N114" s="726"/>
      <c r="O114" s="726"/>
      <c r="P114" s="726"/>
      <c r="Q114" s="726"/>
      <c r="R114" s="723"/>
    </row>
    <row r="115" spans="1:18" ht="12" customHeight="1">
      <c r="A115" s="723" t="s">
        <v>313</v>
      </c>
      <c r="B115" s="724" t="s">
        <v>1276</v>
      </c>
      <c r="C115" s="727" t="s">
        <v>1277</v>
      </c>
      <c r="D115" s="720" t="s">
        <v>4</v>
      </c>
      <c r="E115" s="721"/>
      <c r="F115" s="721">
        <f t="shared" si="11"/>
        <v>0</v>
      </c>
      <c r="G115" s="726"/>
      <c r="H115" s="726"/>
      <c r="I115" s="726"/>
      <c r="J115" s="726"/>
      <c r="K115" s="726"/>
      <c r="L115" s="726"/>
      <c r="M115" s="726"/>
      <c r="N115" s="726"/>
      <c r="O115" s="726"/>
      <c r="P115" s="726"/>
      <c r="Q115" s="726"/>
      <c r="R115" s="723"/>
    </row>
    <row r="116" spans="1:18" ht="12" customHeight="1">
      <c r="A116" s="723"/>
      <c r="B116" s="724"/>
      <c r="C116" s="725"/>
      <c r="D116" s="714" t="s">
        <v>976</v>
      </c>
      <c r="E116" s="721"/>
      <c r="F116" s="721">
        <f t="shared" si="11"/>
        <v>0</v>
      </c>
      <c r="G116" s="726"/>
      <c r="H116" s="726"/>
      <c r="I116" s="726"/>
      <c r="J116" s="726"/>
      <c r="K116" s="726"/>
      <c r="L116" s="726"/>
      <c r="M116" s="726"/>
      <c r="N116" s="726"/>
      <c r="O116" s="726"/>
      <c r="P116" s="726"/>
      <c r="Q116" s="726"/>
      <c r="R116" s="723"/>
    </row>
    <row r="117" spans="1:18" ht="12" customHeight="1">
      <c r="A117" s="723"/>
      <c r="B117" s="724"/>
      <c r="C117" s="725"/>
      <c r="D117" s="714" t="s">
        <v>1032</v>
      </c>
      <c r="E117" s="721">
        <v>37</v>
      </c>
      <c r="F117" s="721">
        <f t="shared" si="11"/>
        <v>68</v>
      </c>
      <c r="G117" s="726"/>
      <c r="H117" s="726"/>
      <c r="I117" s="726"/>
      <c r="J117" s="726"/>
      <c r="K117" s="726">
        <v>68</v>
      </c>
      <c r="L117" s="726"/>
      <c r="M117" s="726"/>
      <c r="N117" s="726"/>
      <c r="O117" s="726"/>
      <c r="P117" s="726"/>
      <c r="Q117" s="726"/>
      <c r="R117" s="723"/>
    </row>
    <row r="118" spans="1:18" ht="12" customHeight="1">
      <c r="A118" s="723" t="s">
        <v>313</v>
      </c>
      <c r="B118" s="724" t="s">
        <v>193</v>
      </c>
      <c r="C118" s="725" t="s">
        <v>410</v>
      </c>
      <c r="D118" s="720" t="s">
        <v>4</v>
      </c>
      <c r="E118" s="721"/>
      <c r="F118" s="721">
        <f t="shared" si="11"/>
        <v>228</v>
      </c>
      <c r="G118" s="726"/>
      <c r="H118" s="726"/>
      <c r="I118" s="726"/>
      <c r="J118" s="726"/>
      <c r="K118" s="726">
        <v>228</v>
      </c>
      <c r="L118" s="726"/>
      <c r="M118" s="726"/>
      <c r="N118" s="726"/>
      <c r="O118" s="726"/>
      <c r="P118" s="726"/>
      <c r="Q118" s="726"/>
      <c r="R118" s="723"/>
    </row>
    <row r="119" spans="1:18" ht="12" customHeight="1">
      <c r="A119" s="723"/>
      <c r="B119" s="724"/>
      <c r="C119" s="725"/>
      <c r="D119" s="714" t="s">
        <v>976</v>
      </c>
      <c r="E119" s="721"/>
      <c r="F119" s="721">
        <f t="shared" si="11"/>
        <v>0</v>
      </c>
      <c r="G119" s="726"/>
      <c r="H119" s="726"/>
      <c r="I119" s="726"/>
      <c r="J119" s="726"/>
      <c r="K119" s="726"/>
      <c r="L119" s="726"/>
      <c r="M119" s="726"/>
      <c r="N119" s="726"/>
      <c r="O119" s="726"/>
      <c r="P119" s="726"/>
      <c r="Q119" s="726"/>
      <c r="R119" s="723"/>
    </row>
    <row r="120" spans="1:18" ht="12" customHeight="1">
      <c r="A120" s="723"/>
      <c r="B120" s="724"/>
      <c r="C120" s="725"/>
      <c r="D120" s="714" t="s">
        <v>1032</v>
      </c>
      <c r="E120" s="721"/>
      <c r="F120" s="721">
        <f t="shared" si="11"/>
        <v>0</v>
      </c>
      <c r="G120" s="726"/>
      <c r="H120" s="726"/>
      <c r="I120" s="726"/>
      <c r="J120" s="726"/>
      <c r="K120" s="726"/>
      <c r="L120" s="726"/>
      <c r="M120" s="726"/>
      <c r="N120" s="726"/>
      <c r="O120" s="726"/>
      <c r="P120" s="726"/>
      <c r="Q120" s="726"/>
      <c r="R120" s="723"/>
    </row>
    <row r="121" spans="1:18" ht="12" customHeight="1">
      <c r="A121" s="1192" t="s">
        <v>200</v>
      </c>
      <c r="B121" s="1192"/>
      <c r="C121" s="1192"/>
      <c r="D121" s="720" t="s">
        <v>4</v>
      </c>
      <c r="E121" s="721">
        <f aca="true" t="shared" si="12" ref="E121:R123">(E106+E109+E112+E118)</f>
        <v>10323</v>
      </c>
      <c r="F121" s="721">
        <f t="shared" si="12"/>
        <v>10323</v>
      </c>
      <c r="G121" s="721">
        <f t="shared" si="12"/>
        <v>6228</v>
      </c>
      <c r="H121" s="721">
        <f t="shared" si="12"/>
        <v>1663</v>
      </c>
      <c r="I121" s="721">
        <f t="shared" si="12"/>
        <v>1739</v>
      </c>
      <c r="J121" s="721">
        <f t="shared" si="12"/>
        <v>0</v>
      </c>
      <c r="K121" s="721">
        <f t="shared" si="12"/>
        <v>502</v>
      </c>
      <c r="L121" s="721">
        <f t="shared" si="12"/>
        <v>0</v>
      </c>
      <c r="M121" s="721">
        <f t="shared" si="12"/>
        <v>0</v>
      </c>
      <c r="N121" s="721">
        <f t="shared" si="12"/>
        <v>191</v>
      </c>
      <c r="O121" s="721">
        <f t="shared" si="12"/>
        <v>0</v>
      </c>
      <c r="P121" s="721">
        <f t="shared" si="12"/>
        <v>0</v>
      </c>
      <c r="Q121" s="721">
        <f t="shared" si="12"/>
        <v>0</v>
      </c>
      <c r="R121" s="721">
        <f t="shared" si="12"/>
        <v>0</v>
      </c>
    </row>
    <row r="122" spans="1:18" ht="12" customHeight="1">
      <c r="A122" s="723"/>
      <c r="B122" s="724"/>
      <c r="C122" s="725"/>
      <c r="D122" s="714" t="s">
        <v>976</v>
      </c>
      <c r="E122" s="721">
        <f t="shared" si="12"/>
        <v>10896</v>
      </c>
      <c r="F122" s="721">
        <f t="shared" si="12"/>
        <v>10896</v>
      </c>
      <c r="G122" s="721">
        <f t="shared" si="12"/>
        <v>7143</v>
      </c>
      <c r="H122" s="721">
        <f t="shared" si="12"/>
        <v>1908</v>
      </c>
      <c r="I122" s="721">
        <f t="shared" si="12"/>
        <v>1749</v>
      </c>
      <c r="J122" s="721">
        <f t="shared" si="12"/>
        <v>0</v>
      </c>
      <c r="K122" s="721">
        <f t="shared" si="12"/>
        <v>68</v>
      </c>
      <c r="L122" s="721">
        <f t="shared" si="12"/>
        <v>0</v>
      </c>
      <c r="M122" s="721">
        <f t="shared" si="12"/>
        <v>0</v>
      </c>
      <c r="N122" s="721">
        <f t="shared" si="12"/>
        <v>28</v>
      </c>
      <c r="O122" s="721">
        <f t="shared" si="12"/>
        <v>0</v>
      </c>
      <c r="P122" s="721">
        <f t="shared" si="12"/>
        <v>0</v>
      </c>
      <c r="Q122" s="721">
        <f t="shared" si="12"/>
        <v>0</v>
      </c>
      <c r="R122" s="721">
        <f t="shared" si="12"/>
        <v>0</v>
      </c>
    </row>
    <row r="123" spans="1:18" ht="12" customHeight="1">
      <c r="A123" s="723"/>
      <c r="B123" s="724"/>
      <c r="C123" s="725"/>
      <c r="D123" s="714" t="s">
        <v>1032</v>
      </c>
      <c r="E123" s="721">
        <f>(E108+E111+E114+E120+E117)</f>
        <v>11262</v>
      </c>
      <c r="F123" s="721">
        <f>(F108+F111+F114+F120+F117)</f>
        <v>10302</v>
      </c>
      <c r="G123" s="721">
        <f>(G108+G111+G114+G120)</f>
        <v>6791</v>
      </c>
      <c r="H123" s="721">
        <f>(H108+H111+H114+H120)</f>
        <v>1880</v>
      </c>
      <c r="I123" s="721">
        <f>(I108+I111+I114+I120)</f>
        <v>1535</v>
      </c>
      <c r="J123" s="721">
        <f>(J108+J111+J114+J120)</f>
        <v>0</v>
      </c>
      <c r="K123" s="721">
        <f>(K108+K111+K114+K120+K117)</f>
        <v>68</v>
      </c>
      <c r="L123" s="721">
        <f t="shared" si="12"/>
        <v>0</v>
      </c>
      <c r="M123" s="721">
        <f t="shared" si="12"/>
        <v>0</v>
      </c>
      <c r="N123" s="721">
        <f t="shared" si="12"/>
        <v>28</v>
      </c>
      <c r="O123" s="721">
        <f t="shared" si="12"/>
        <v>0</v>
      </c>
      <c r="P123" s="721">
        <f t="shared" si="12"/>
        <v>0</v>
      </c>
      <c r="Q123" s="721">
        <f t="shared" si="12"/>
        <v>0</v>
      </c>
      <c r="R123" s="721">
        <f t="shared" si="12"/>
        <v>0</v>
      </c>
    </row>
    <row r="124" spans="1:18" ht="12" customHeight="1">
      <c r="A124" s="1192" t="s">
        <v>201</v>
      </c>
      <c r="B124" s="1192"/>
      <c r="C124" s="1192"/>
      <c r="D124" s="731" t="s">
        <v>4</v>
      </c>
      <c r="E124" s="721">
        <f>SUM(E79+E102+E121)</f>
        <v>70813</v>
      </c>
      <c r="F124" s="721">
        <f>G124+H124+I124+J124+K124+L124+M124+N124+O124+P124+Q124+R124</f>
        <v>70813</v>
      </c>
      <c r="G124" s="721">
        <f aca="true" t="shared" si="13" ref="G124:R124">G79+G102+G121</f>
        <v>47454</v>
      </c>
      <c r="H124" s="721">
        <f t="shared" si="13"/>
        <v>12483</v>
      </c>
      <c r="I124" s="721">
        <f t="shared" si="13"/>
        <v>8020</v>
      </c>
      <c r="J124" s="721">
        <f t="shared" si="13"/>
        <v>0</v>
      </c>
      <c r="K124" s="721">
        <f t="shared" si="13"/>
        <v>2665</v>
      </c>
      <c r="L124" s="721">
        <f t="shared" si="13"/>
        <v>0</v>
      </c>
      <c r="M124" s="721">
        <f t="shared" si="13"/>
        <v>0</v>
      </c>
      <c r="N124" s="721">
        <f t="shared" si="13"/>
        <v>191</v>
      </c>
      <c r="O124" s="721">
        <f t="shared" si="13"/>
        <v>0</v>
      </c>
      <c r="P124" s="721">
        <f t="shared" si="13"/>
        <v>0</v>
      </c>
      <c r="Q124" s="721">
        <f t="shared" si="13"/>
        <v>0</v>
      </c>
      <c r="R124" s="721">
        <f t="shared" si="13"/>
        <v>0</v>
      </c>
    </row>
    <row r="125" spans="1:18" ht="12" customHeight="1">
      <c r="A125" s="723"/>
      <c r="B125" s="724"/>
      <c r="C125" s="725"/>
      <c r="D125" s="715" t="s">
        <v>976</v>
      </c>
      <c r="E125" s="721">
        <f>SUM(E80+E103+E122)</f>
        <v>73476</v>
      </c>
      <c r="F125" s="721">
        <f>SUM(F80+F103+F122)</f>
        <v>73476</v>
      </c>
      <c r="G125" s="721">
        <f aca="true" t="shared" si="14" ref="G125:R125">G80+G103+G122</f>
        <v>48423</v>
      </c>
      <c r="H125" s="721">
        <f t="shared" si="14"/>
        <v>13269</v>
      </c>
      <c r="I125" s="721">
        <f t="shared" si="14"/>
        <v>8002</v>
      </c>
      <c r="J125" s="721">
        <f t="shared" si="14"/>
        <v>0</v>
      </c>
      <c r="K125" s="721">
        <f t="shared" si="14"/>
        <v>2934</v>
      </c>
      <c r="L125" s="721">
        <f t="shared" si="14"/>
        <v>0</v>
      </c>
      <c r="M125" s="721">
        <f t="shared" si="14"/>
        <v>0</v>
      </c>
      <c r="N125" s="721">
        <f t="shared" si="14"/>
        <v>848</v>
      </c>
      <c r="O125" s="721">
        <f t="shared" si="14"/>
        <v>0</v>
      </c>
      <c r="P125" s="721">
        <f t="shared" si="14"/>
        <v>0</v>
      </c>
      <c r="Q125" s="721">
        <f t="shared" si="14"/>
        <v>0</v>
      </c>
      <c r="R125" s="721">
        <f t="shared" si="14"/>
        <v>0</v>
      </c>
    </row>
    <row r="126" spans="1:18" ht="12" customHeight="1">
      <c r="A126" s="723"/>
      <c r="B126" s="724"/>
      <c r="C126" s="725"/>
      <c r="D126" s="715" t="s">
        <v>1032</v>
      </c>
      <c r="E126" s="721">
        <f>SUM(E81+E104+E123)</f>
        <v>76127</v>
      </c>
      <c r="F126" s="721">
        <f>SUM(F81+F104+F123)</f>
        <v>72574</v>
      </c>
      <c r="G126" s="721">
        <f aca="true" t="shared" si="15" ref="G126:R126">G81+G104+G123</f>
        <v>47793</v>
      </c>
      <c r="H126" s="721">
        <f t="shared" si="15"/>
        <v>13229</v>
      </c>
      <c r="I126" s="721">
        <f t="shared" si="15"/>
        <v>7781</v>
      </c>
      <c r="J126" s="721">
        <f t="shared" si="15"/>
        <v>0</v>
      </c>
      <c r="K126" s="721">
        <f t="shared" si="15"/>
        <v>2931</v>
      </c>
      <c r="L126" s="721">
        <f t="shared" si="15"/>
        <v>0</v>
      </c>
      <c r="M126" s="721">
        <f t="shared" si="15"/>
        <v>0</v>
      </c>
      <c r="N126" s="721">
        <f t="shared" si="15"/>
        <v>840</v>
      </c>
      <c r="O126" s="721">
        <f t="shared" si="15"/>
        <v>0</v>
      </c>
      <c r="P126" s="721">
        <f t="shared" si="15"/>
        <v>0</v>
      </c>
      <c r="Q126" s="721">
        <f t="shared" si="15"/>
        <v>0</v>
      </c>
      <c r="R126" s="721">
        <f t="shared" si="15"/>
        <v>0</v>
      </c>
    </row>
    <row r="127" spans="1:18" ht="12" customHeight="1">
      <c r="A127" s="723"/>
      <c r="B127" s="724"/>
      <c r="C127" s="725"/>
      <c r="D127" s="715"/>
      <c r="E127" s="721"/>
      <c r="F127" s="721"/>
      <c r="G127" s="721"/>
      <c r="H127" s="721"/>
      <c r="I127" s="721"/>
      <c r="J127" s="721"/>
      <c r="K127" s="721"/>
      <c r="L127" s="721"/>
      <c r="M127" s="721"/>
      <c r="N127" s="721"/>
      <c r="O127" s="721"/>
      <c r="P127" s="721"/>
      <c r="Q127" s="721"/>
      <c r="R127" s="721"/>
    </row>
    <row r="128" spans="1:18" ht="12" customHeight="1">
      <c r="A128" s="1192" t="s">
        <v>202</v>
      </c>
      <c r="B128" s="1192"/>
      <c r="C128" s="1192"/>
      <c r="D128" s="731" t="s">
        <v>4</v>
      </c>
      <c r="E128" s="721">
        <f aca="true" t="shared" si="16" ref="E128:R128">SUM(E56+E124)</f>
        <v>700533</v>
      </c>
      <c r="F128" s="721">
        <f t="shared" si="16"/>
        <v>700533</v>
      </c>
      <c r="G128" s="721">
        <f t="shared" si="16"/>
        <v>392724</v>
      </c>
      <c r="H128" s="721">
        <f t="shared" si="16"/>
        <v>110887</v>
      </c>
      <c r="I128" s="721">
        <f t="shared" si="16"/>
        <v>145311</v>
      </c>
      <c r="J128" s="721">
        <f t="shared" si="16"/>
        <v>2000</v>
      </c>
      <c r="K128" s="721">
        <f t="shared" si="16"/>
        <v>16777</v>
      </c>
      <c r="L128" s="721">
        <f t="shared" si="16"/>
        <v>0</v>
      </c>
      <c r="M128" s="721">
        <f t="shared" si="16"/>
        <v>0</v>
      </c>
      <c r="N128" s="721">
        <f t="shared" si="16"/>
        <v>31834</v>
      </c>
      <c r="O128" s="721">
        <f t="shared" si="16"/>
        <v>1000</v>
      </c>
      <c r="P128" s="721">
        <f t="shared" si="16"/>
        <v>0</v>
      </c>
      <c r="Q128" s="721">
        <f t="shared" si="16"/>
        <v>0</v>
      </c>
      <c r="R128" s="721">
        <f t="shared" si="16"/>
        <v>0</v>
      </c>
    </row>
    <row r="129" spans="1:18" ht="12" customHeight="1">
      <c r="A129" s="723"/>
      <c r="B129" s="724"/>
      <c r="C129" s="725"/>
      <c r="D129" s="715" t="s">
        <v>976</v>
      </c>
      <c r="E129" s="721">
        <f aca="true" t="shared" si="17" ref="E129:R129">SUM(E57+E125)</f>
        <v>682146</v>
      </c>
      <c r="F129" s="721">
        <f t="shared" si="17"/>
        <v>682146</v>
      </c>
      <c r="G129" s="721">
        <f t="shared" si="17"/>
        <v>389587</v>
      </c>
      <c r="H129" s="721">
        <f t="shared" si="17"/>
        <v>111849</v>
      </c>
      <c r="I129" s="721">
        <f t="shared" si="17"/>
        <v>125912</v>
      </c>
      <c r="J129" s="721">
        <f t="shared" si="17"/>
        <v>363</v>
      </c>
      <c r="K129" s="721">
        <f t="shared" si="17"/>
        <v>33081</v>
      </c>
      <c r="L129" s="721">
        <f t="shared" si="17"/>
        <v>0</v>
      </c>
      <c r="M129" s="721">
        <f t="shared" si="17"/>
        <v>0</v>
      </c>
      <c r="N129" s="721">
        <f t="shared" si="17"/>
        <v>20354</v>
      </c>
      <c r="O129" s="721">
        <f t="shared" si="17"/>
        <v>1000</v>
      </c>
      <c r="P129" s="721">
        <f t="shared" si="17"/>
        <v>0</v>
      </c>
      <c r="Q129" s="721">
        <f t="shared" si="17"/>
        <v>0</v>
      </c>
      <c r="R129" s="721">
        <f t="shared" si="17"/>
        <v>0</v>
      </c>
    </row>
    <row r="130" spans="1:18" ht="12" customHeight="1">
      <c r="A130" s="732"/>
      <c r="B130" s="733"/>
      <c r="C130" s="734"/>
      <c r="D130" s="716" t="s">
        <v>1032</v>
      </c>
      <c r="E130" s="735">
        <f aca="true" t="shared" si="18" ref="E130:R130">SUM(E58+E126)</f>
        <v>661743</v>
      </c>
      <c r="F130" s="735">
        <f t="shared" si="18"/>
        <v>633616</v>
      </c>
      <c r="G130" s="735">
        <f t="shared" si="18"/>
        <v>365605</v>
      </c>
      <c r="H130" s="735">
        <f t="shared" si="18"/>
        <v>106065</v>
      </c>
      <c r="I130" s="735">
        <f t="shared" si="18"/>
        <v>119137</v>
      </c>
      <c r="J130" s="735">
        <f t="shared" si="18"/>
        <v>359</v>
      </c>
      <c r="K130" s="735">
        <f t="shared" si="18"/>
        <v>32520</v>
      </c>
      <c r="L130" s="735">
        <f t="shared" si="18"/>
        <v>0</v>
      </c>
      <c r="M130" s="735">
        <f t="shared" si="18"/>
        <v>0</v>
      </c>
      <c r="N130" s="735">
        <f t="shared" si="18"/>
        <v>9330</v>
      </c>
      <c r="O130" s="735">
        <f t="shared" si="18"/>
        <v>600</v>
      </c>
      <c r="P130" s="735">
        <f t="shared" si="18"/>
        <v>0</v>
      </c>
      <c r="Q130" s="735">
        <f t="shared" si="18"/>
        <v>0</v>
      </c>
      <c r="R130" s="735">
        <f t="shared" si="18"/>
        <v>0</v>
      </c>
    </row>
    <row r="131" spans="1:18" ht="12" customHeight="1">
      <c r="A131" s="723"/>
      <c r="B131" s="724"/>
      <c r="C131" s="725"/>
      <c r="D131" s="731"/>
      <c r="E131" s="721"/>
      <c r="F131" s="721"/>
      <c r="G131" s="726"/>
      <c r="H131" s="726"/>
      <c r="I131" s="726"/>
      <c r="J131" s="726"/>
      <c r="K131" s="726"/>
      <c r="L131" s="726"/>
      <c r="M131" s="726"/>
      <c r="N131" s="726"/>
      <c r="O131" s="726"/>
      <c r="P131" s="726"/>
      <c r="Q131" s="726"/>
      <c r="R131" s="723"/>
    </row>
    <row r="132" spans="1:18" ht="12" customHeight="1">
      <c r="A132" s="1192" t="s">
        <v>203</v>
      </c>
      <c r="B132" s="1192"/>
      <c r="C132" s="1192"/>
      <c r="D132" s="731" t="s">
        <v>4</v>
      </c>
      <c r="E132" s="736">
        <f aca="true" t="shared" si="19" ref="E132:R132">SUM(E20+E38+E44+E50+E64+E67+E73+E87+E90+E96+E109+E112+E118)</f>
        <v>658320</v>
      </c>
      <c r="F132" s="736">
        <f t="shared" si="19"/>
        <v>28713</v>
      </c>
      <c r="G132" s="736">
        <f t="shared" si="19"/>
        <v>9400</v>
      </c>
      <c r="H132" s="736">
        <f t="shared" si="19"/>
        <v>2536</v>
      </c>
      <c r="I132" s="736">
        <f t="shared" si="19"/>
        <v>0</v>
      </c>
      <c r="J132" s="736">
        <f t="shared" si="19"/>
        <v>0</v>
      </c>
      <c r="K132" s="736">
        <f t="shared" si="19"/>
        <v>16777</v>
      </c>
      <c r="L132" s="736">
        <f t="shared" si="19"/>
        <v>0</v>
      </c>
      <c r="M132" s="736">
        <f t="shared" si="19"/>
        <v>0</v>
      </c>
      <c r="N132" s="736">
        <f t="shared" si="19"/>
        <v>0</v>
      </c>
      <c r="O132" s="736">
        <f t="shared" si="19"/>
        <v>0</v>
      </c>
      <c r="P132" s="736">
        <f t="shared" si="19"/>
        <v>0</v>
      </c>
      <c r="Q132" s="736">
        <f t="shared" si="19"/>
        <v>0</v>
      </c>
      <c r="R132" s="736">
        <f t="shared" si="19"/>
        <v>0</v>
      </c>
    </row>
    <row r="133" spans="1:18" ht="12" customHeight="1">
      <c r="A133" s="723"/>
      <c r="B133" s="731"/>
      <c r="C133" s="731"/>
      <c r="D133" s="715" t="s">
        <v>976</v>
      </c>
      <c r="E133" s="736">
        <f aca="true" t="shared" si="20" ref="E133:R133">SUM(E39+E45+E51+E65+E68+E74+E88+E91+E97+E110+E113+E119+E54)</f>
        <v>54564</v>
      </c>
      <c r="F133" s="736">
        <f t="shared" si="20"/>
        <v>44917</v>
      </c>
      <c r="G133" s="736">
        <f t="shared" si="20"/>
        <v>9400</v>
      </c>
      <c r="H133" s="736">
        <f t="shared" si="20"/>
        <v>2536</v>
      </c>
      <c r="I133" s="736">
        <f t="shared" si="20"/>
        <v>0</v>
      </c>
      <c r="J133" s="736">
        <f t="shared" si="20"/>
        <v>0</v>
      </c>
      <c r="K133" s="736">
        <f t="shared" si="20"/>
        <v>32981</v>
      </c>
      <c r="L133" s="736">
        <f t="shared" si="20"/>
        <v>0</v>
      </c>
      <c r="M133" s="736">
        <f t="shared" si="20"/>
        <v>0</v>
      </c>
      <c r="N133" s="736">
        <f t="shared" si="20"/>
        <v>0</v>
      </c>
      <c r="O133" s="736">
        <f t="shared" si="20"/>
        <v>0</v>
      </c>
      <c r="P133" s="736">
        <f t="shared" si="20"/>
        <v>0</v>
      </c>
      <c r="Q133" s="736">
        <f t="shared" si="20"/>
        <v>0</v>
      </c>
      <c r="R133" s="736">
        <f t="shared" si="20"/>
        <v>0</v>
      </c>
    </row>
    <row r="134" spans="1:18" ht="12" customHeight="1">
      <c r="A134" s="723"/>
      <c r="B134" s="731"/>
      <c r="C134" s="731"/>
      <c r="D134" s="715" t="s">
        <v>1032</v>
      </c>
      <c r="E134" s="736">
        <f>SUM(E40+E46+E52+E66+E69+E75+E89+E92+E98+E111+E114+E120+E55+E95+E72+E117)</f>
        <v>57217</v>
      </c>
      <c r="F134" s="736">
        <f aca="true" t="shared" si="21" ref="F134:Q134">SUM(F40+F46+F52+F66+F69+F75+F89+F92+F98+F111+F114+F120+F55+F43+F72+F95+F117)</f>
        <v>35462</v>
      </c>
      <c r="G134" s="736">
        <f t="shared" si="21"/>
        <v>4982</v>
      </c>
      <c r="H134" s="736">
        <f t="shared" si="21"/>
        <v>1254</v>
      </c>
      <c r="I134" s="736">
        <f t="shared" si="21"/>
        <v>0</v>
      </c>
      <c r="J134" s="736">
        <f t="shared" si="21"/>
        <v>0</v>
      </c>
      <c r="K134" s="736">
        <f t="shared" si="21"/>
        <v>29226</v>
      </c>
      <c r="L134" s="736">
        <f t="shared" si="21"/>
        <v>0</v>
      </c>
      <c r="M134" s="736">
        <f t="shared" si="21"/>
        <v>0</v>
      </c>
      <c r="N134" s="736">
        <f t="shared" si="21"/>
        <v>0</v>
      </c>
      <c r="O134" s="736">
        <f t="shared" si="21"/>
        <v>0</v>
      </c>
      <c r="P134" s="736">
        <f t="shared" si="21"/>
        <v>0</v>
      </c>
      <c r="Q134" s="736">
        <f t="shared" si="21"/>
        <v>0</v>
      </c>
      <c r="R134" s="736">
        <f>SUM(R40+R46+R52+R66+R69+R75+R89+R92+R98+R111+R114+R120+R55)</f>
        <v>0</v>
      </c>
    </row>
    <row r="135" spans="1:18" ht="12" customHeight="1">
      <c r="A135" s="723"/>
      <c r="B135" s="731"/>
      <c r="C135" s="731"/>
      <c r="D135" s="731"/>
      <c r="E135" s="736"/>
      <c r="F135" s="736"/>
      <c r="G135" s="736"/>
      <c r="H135" s="736"/>
      <c r="I135" s="736"/>
      <c r="J135" s="736"/>
      <c r="K135" s="736"/>
      <c r="L135" s="736"/>
      <c r="M135" s="736"/>
      <c r="N135" s="736"/>
      <c r="O135" s="736"/>
      <c r="P135" s="736"/>
      <c r="Q135" s="736"/>
      <c r="R135" s="736"/>
    </row>
    <row r="136" spans="1:18" ht="12" customHeight="1">
      <c r="A136" s="1192" t="s">
        <v>444</v>
      </c>
      <c r="B136" s="1192"/>
      <c r="C136" s="1192"/>
      <c r="D136" s="731" t="s">
        <v>4</v>
      </c>
      <c r="E136" s="736">
        <f aca="true" t="shared" si="22" ref="E136:R136">SUM(E23+E29+E35+E47)</f>
        <v>3015</v>
      </c>
      <c r="F136" s="736">
        <f t="shared" si="22"/>
        <v>28939</v>
      </c>
      <c r="G136" s="736">
        <f t="shared" si="22"/>
        <v>17249</v>
      </c>
      <c r="H136" s="736">
        <f t="shared" si="22"/>
        <v>4633</v>
      </c>
      <c r="I136" s="736">
        <f t="shared" si="22"/>
        <v>5107</v>
      </c>
      <c r="J136" s="736">
        <f t="shared" si="22"/>
        <v>0</v>
      </c>
      <c r="K136" s="736">
        <f t="shared" si="22"/>
        <v>0</v>
      </c>
      <c r="L136" s="736">
        <f t="shared" si="22"/>
        <v>0</v>
      </c>
      <c r="M136" s="736">
        <f t="shared" si="22"/>
        <v>0</v>
      </c>
      <c r="N136" s="736">
        <f t="shared" si="22"/>
        <v>950</v>
      </c>
      <c r="O136" s="736">
        <f t="shared" si="22"/>
        <v>1000</v>
      </c>
      <c r="P136" s="736">
        <f t="shared" si="22"/>
        <v>0</v>
      </c>
      <c r="Q136" s="736">
        <f t="shared" si="22"/>
        <v>0</v>
      </c>
      <c r="R136" s="736">
        <f t="shared" si="22"/>
        <v>0</v>
      </c>
    </row>
    <row r="137" spans="1:18" ht="12" customHeight="1">
      <c r="A137" s="723"/>
      <c r="B137" s="731"/>
      <c r="C137" s="731"/>
      <c r="D137" s="715" t="s">
        <v>976</v>
      </c>
      <c r="E137" s="736">
        <f aca="true" t="shared" si="23" ref="E137:R137">SUM(E24+E30+E36+E48)</f>
        <v>990</v>
      </c>
      <c r="F137" s="736">
        <f t="shared" si="23"/>
        <v>23459</v>
      </c>
      <c r="G137" s="736">
        <f t="shared" si="23"/>
        <v>15949</v>
      </c>
      <c r="H137" s="736">
        <f t="shared" si="23"/>
        <v>4308</v>
      </c>
      <c r="I137" s="736">
        <f t="shared" si="23"/>
        <v>2097</v>
      </c>
      <c r="J137" s="736">
        <f t="shared" si="23"/>
        <v>0</v>
      </c>
      <c r="K137" s="736">
        <f t="shared" si="23"/>
        <v>100</v>
      </c>
      <c r="L137" s="736">
        <f t="shared" si="23"/>
        <v>0</v>
      </c>
      <c r="M137" s="736">
        <f t="shared" si="23"/>
        <v>0</v>
      </c>
      <c r="N137" s="736">
        <f t="shared" si="23"/>
        <v>5</v>
      </c>
      <c r="O137" s="736">
        <f t="shared" si="23"/>
        <v>1000</v>
      </c>
      <c r="P137" s="736">
        <f t="shared" si="23"/>
        <v>0</v>
      </c>
      <c r="Q137" s="736">
        <f t="shared" si="23"/>
        <v>0</v>
      </c>
      <c r="R137" s="736">
        <f t="shared" si="23"/>
        <v>0</v>
      </c>
    </row>
    <row r="138" spans="1:18" ht="12" customHeight="1">
      <c r="A138" s="723"/>
      <c r="B138" s="731"/>
      <c r="C138" s="731"/>
      <c r="D138" s="715" t="s">
        <v>1032</v>
      </c>
      <c r="E138" s="736">
        <f>SUM(E25+E31+E37+E49+E101+E78)</f>
        <v>1894</v>
      </c>
      <c r="F138" s="736">
        <f aca="true" t="shared" si="24" ref="F138:P138">SUM(F25+F31+F37+F49+F78+F101)</f>
        <v>19827</v>
      </c>
      <c r="G138" s="736">
        <f t="shared" si="24"/>
        <v>11627</v>
      </c>
      <c r="H138" s="736">
        <f t="shared" si="24"/>
        <v>3176</v>
      </c>
      <c r="I138" s="736">
        <f t="shared" si="24"/>
        <v>1125</v>
      </c>
      <c r="J138" s="736">
        <f t="shared" si="24"/>
        <v>0</v>
      </c>
      <c r="K138" s="736">
        <f t="shared" si="24"/>
        <v>3294</v>
      </c>
      <c r="L138" s="736">
        <f t="shared" si="24"/>
        <v>0</v>
      </c>
      <c r="M138" s="736">
        <f t="shared" si="24"/>
        <v>0</v>
      </c>
      <c r="N138" s="736">
        <f t="shared" si="24"/>
        <v>5</v>
      </c>
      <c r="O138" s="736">
        <f t="shared" si="24"/>
        <v>600</v>
      </c>
      <c r="P138" s="736">
        <f t="shared" si="24"/>
        <v>0</v>
      </c>
      <c r="Q138" s="736">
        <f>SUM(Q25+Q31+Q37+Q49)</f>
        <v>0</v>
      </c>
      <c r="R138" s="736">
        <f>SUM(R25+R31+R37+R49)</f>
        <v>0</v>
      </c>
    </row>
    <row r="139" spans="1:18" ht="12" customHeight="1">
      <c r="A139" s="723"/>
      <c r="B139" s="731"/>
      <c r="C139" s="731"/>
      <c r="D139" s="731"/>
      <c r="E139" s="736"/>
      <c r="F139" s="736"/>
      <c r="G139" s="736"/>
      <c r="H139" s="736"/>
      <c r="I139" s="736"/>
      <c r="J139" s="736"/>
      <c r="K139" s="736"/>
      <c r="L139" s="736"/>
      <c r="M139" s="736"/>
      <c r="N139" s="736"/>
      <c r="O139" s="736"/>
      <c r="P139" s="736"/>
      <c r="Q139" s="736"/>
      <c r="R139" s="736"/>
    </row>
    <row r="140" spans="1:18" ht="12" customHeight="1">
      <c r="A140" s="1192" t="s">
        <v>445</v>
      </c>
      <c r="B140" s="1192"/>
      <c r="C140" s="1192"/>
      <c r="D140" s="731" t="s">
        <v>4</v>
      </c>
      <c r="E140" s="736">
        <f aca="true" t="shared" si="25" ref="E140:R140">SUM(E8+E11+E14+E26+E32+E61+E84+E106)</f>
        <v>39198</v>
      </c>
      <c r="F140" s="736">
        <f t="shared" si="25"/>
        <v>642881</v>
      </c>
      <c r="G140" s="736">
        <f t="shared" si="25"/>
        <v>366075</v>
      </c>
      <c r="H140" s="736">
        <f t="shared" si="25"/>
        <v>103718</v>
      </c>
      <c r="I140" s="736">
        <f t="shared" si="25"/>
        <v>140204</v>
      </c>
      <c r="J140" s="736">
        <f t="shared" si="25"/>
        <v>2000</v>
      </c>
      <c r="K140" s="736">
        <f t="shared" si="25"/>
        <v>0</v>
      </c>
      <c r="L140" s="736">
        <f t="shared" si="25"/>
        <v>0</v>
      </c>
      <c r="M140" s="736">
        <f t="shared" si="25"/>
        <v>0</v>
      </c>
      <c r="N140" s="736">
        <f t="shared" si="25"/>
        <v>30884</v>
      </c>
      <c r="O140" s="736">
        <f t="shared" si="25"/>
        <v>0</v>
      </c>
      <c r="P140" s="736">
        <f t="shared" si="25"/>
        <v>0</v>
      </c>
      <c r="Q140" s="736">
        <f t="shared" si="25"/>
        <v>0</v>
      </c>
      <c r="R140" s="736">
        <f t="shared" si="25"/>
        <v>0</v>
      </c>
    </row>
    <row r="141" spans="1:18" ht="12" customHeight="1">
      <c r="A141" s="717"/>
      <c r="B141" s="718"/>
      <c r="C141" s="717"/>
      <c r="D141" s="715" t="s">
        <v>976</v>
      </c>
      <c r="E141" s="736">
        <f aca="true" t="shared" si="26" ref="E141:R141">SUM(E9+E12+E15+E27+E33+E62+E85+E107+E21)</f>
        <v>626592</v>
      </c>
      <c r="F141" s="736">
        <f t="shared" si="26"/>
        <v>613770</v>
      </c>
      <c r="G141" s="736">
        <f t="shared" si="26"/>
        <v>364238</v>
      </c>
      <c r="H141" s="736">
        <f t="shared" si="26"/>
        <v>105005</v>
      </c>
      <c r="I141" s="736">
        <f t="shared" si="26"/>
        <v>123815</v>
      </c>
      <c r="J141" s="736">
        <f t="shared" si="26"/>
        <v>363</v>
      </c>
      <c r="K141" s="736">
        <f t="shared" si="26"/>
        <v>0</v>
      </c>
      <c r="L141" s="736">
        <f t="shared" si="26"/>
        <v>0</v>
      </c>
      <c r="M141" s="736">
        <f t="shared" si="26"/>
        <v>0</v>
      </c>
      <c r="N141" s="736">
        <f t="shared" si="26"/>
        <v>20349</v>
      </c>
      <c r="O141" s="736">
        <f t="shared" si="26"/>
        <v>0</v>
      </c>
      <c r="P141" s="736">
        <f t="shared" si="26"/>
        <v>0</v>
      </c>
      <c r="Q141" s="736">
        <f t="shared" si="26"/>
        <v>0</v>
      </c>
      <c r="R141" s="736">
        <f t="shared" si="26"/>
        <v>0</v>
      </c>
    </row>
    <row r="142" spans="1:18" ht="12" customHeight="1">
      <c r="A142" s="717"/>
      <c r="B142" s="718"/>
      <c r="C142" s="717"/>
      <c r="D142" s="715" t="s">
        <v>1032</v>
      </c>
      <c r="E142" s="736">
        <f>SUM(E10+E13+E16+E28+E34+E63+E86+E108+E22)</f>
        <v>602632</v>
      </c>
      <c r="F142" s="736">
        <f aca="true" t="shared" si="27" ref="F142:R142">SUM(F10+F13+F16+F28+F34+F63+F86+F108+F22+F19)</f>
        <v>578327</v>
      </c>
      <c r="G142" s="736">
        <f t="shared" si="27"/>
        <v>348996</v>
      </c>
      <c r="H142" s="736">
        <f t="shared" si="27"/>
        <v>101635</v>
      </c>
      <c r="I142" s="736">
        <f t="shared" si="27"/>
        <v>118012</v>
      </c>
      <c r="J142" s="736">
        <f t="shared" si="27"/>
        <v>359</v>
      </c>
      <c r="K142" s="736">
        <f t="shared" si="27"/>
        <v>0</v>
      </c>
      <c r="L142" s="736">
        <f t="shared" si="27"/>
        <v>0</v>
      </c>
      <c r="M142" s="736">
        <f t="shared" si="27"/>
        <v>0</v>
      </c>
      <c r="N142" s="736">
        <f t="shared" si="27"/>
        <v>9325</v>
      </c>
      <c r="O142" s="736">
        <f t="shared" si="27"/>
        <v>0</v>
      </c>
      <c r="P142" s="736">
        <f t="shared" si="27"/>
        <v>0</v>
      </c>
      <c r="Q142" s="736">
        <f t="shared" si="27"/>
        <v>0</v>
      </c>
      <c r="R142" s="736">
        <f t="shared" si="27"/>
        <v>0</v>
      </c>
    </row>
  </sheetData>
  <sheetProtection/>
  <mergeCells count="34">
    <mergeCell ref="A128:C128"/>
    <mergeCell ref="A132:C132"/>
    <mergeCell ref="A136:C136"/>
    <mergeCell ref="A140:C140"/>
    <mergeCell ref="A81:C81"/>
    <mergeCell ref="A83:C83"/>
    <mergeCell ref="A102:C102"/>
    <mergeCell ref="A105:C105"/>
    <mergeCell ref="A121:C121"/>
    <mergeCell ref="A124:C124"/>
    <mergeCell ref="Q5:Q6"/>
    <mergeCell ref="R5:R6"/>
    <mergeCell ref="A7:C7"/>
    <mergeCell ref="A56:C56"/>
    <mergeCell ref="A60:C60"/>
    <mergeCell ref="A79:C79"/>
    <mergeCell ref="Q4:R4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B1:C1"/>
    <mergeCell ref="B2:P2"/>
    <mergeCell ref="A4:D6"/>
    <mergeCell ref="E4:E6"/>
    <mergeCell ref="F4:F6"/>
    <mergeCell ref="G4:L4"/>
    <mergeCell ref="M4:P4"/>
    <mergeCell ref="P5:P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&amp;L &amp;16 5. melléklet a 16/2016.(V.26.)   önkormányzati rendelethez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157"/>
  <sheetViews>
    <sheetView view="pageBreakPreview" zoomScale="50" zoomScaleNormal="57" zoomScaleSheetLayoutView="50" workbookViewId="0" topLeftCell="A1">
      <selection activeCell="E3" sqref="E3"/>
    </sheetView>
  </sheetViews>
  <sheetFormatPr defaultColWidth="8.875" defaultRowHeight="12.75"/>
  <cols>
    <col min="1" max="1" width="40.75390625" style="514" customWidth="1"/>
    <col min="2" max="2" width="24.875" style="515" customWidth="1"/>
    <col min="3" max="3" width="16.00390625" style="481" customWidth="1"/>
    <col min="4" max="4" width="31.125" style="481" customWidth="1"/>
    <col min="5" max="5" width="15.125" style="481" customWidth="1"/>
    <col min="6" max="6" width="12.125" style="481" customWidth="1"/>
    <col min="7" max="7" width="11.25390625" style="481" customWidth="1"/>
    <col min="8" max="8" width="32.125" style="481" customWidth="1"/>
    <col min="9" max="9" width="18.00390625" style="481" customWidth="1"/>
    <col min="10" max="10" width="12.875" style="481" customWidth="1"/>
    <col min="11" max="11" width="17.375" style="481" customWidth="1"/>
    <col min="12" max="12" width="14.125" style="481" customWidth="1"/>
    <col min="13" max="13" width="19.875" style="481" customWidth="1"/>
    <col min="14" max="14" width="20.75390625" style="481" customWidth="1"/>
    <col min="15" max="15" width="15.25390625" style="481" customWidth="1"/>
    <col min="16" max="16" width="22.75390625" style="481" customWidth="1"/>
    <col min="17" max="17" width="17.75390625" style="481" bestFit="1" customWidth="1"/>
    <col min="18" max="18" width="24.75390625" style="481" customWidth="1"/>
    <col min="19" max="19" width="34.75390625" style="515" customWidth="1"/>
    <col min="20" max="20" width="21.625" style="481" customWidth="1"/>
    <col min="21" max="21" width="21.75390625" style="481" customWidth="1"/>
    <col min="22" max="22" width="22.625" style="481" customWidth="1"/>
    <col min="23" max="23" width="20.625" style="481" customWidth="1"/>
    <col min="24" max="24" width="18.875" style="481" customWidth="1"/>
    <col min="25" max="25" width="22.375" style="481" customWidth="1"/>
    <col min="26" max="26" width="22.875" style="481" customWidth="1"/>
    <col min="27" max="27" width="26.125" style="481" customWidth="1"/>
    <col min="28" max="28" width="18.75390625" style="481" customWidth="1"/>
    <col min="29" max="29" width="19.00390625" style="481" customWidth="1"/>
    <col min="30" max="30" width="19.375" style="481" customWidth="1"/>
    <col min="31" max="16384" width="8.875" style="481" customWidth="1"/>
  </cols>
  <sheetData>
    <row r="1" spans="1:31" ht="98.25" customHeight="1">
      <c r="A1" s="1203" t="s">
        <v>1415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1203"/>
      <c r="R1" s="1203"/>
      <c r="S1" s="1194" t="s">
        <v>1367</v>
      </c>
      <c r="T1" s="1194"/>
      <c r="U1" s="1194"/>
      <c r="V1" s="1194"/>
      <c r="W1" s="1194"/>
      <c r="X1" s="1194"/>
      <c r="Y1" s="1194"/>
      <c r="Z1" s="1194"/>
      <c r="AA1" s="1194"/>
      <c r="AB1" s="1194"/>
      <c r="AC1" s="1194"/>
      <c r="AD1" s="1194"/>
      <c r="AE1" s="795"/>
    </row>
    <row r="2" spans="1:31" ht="18.75" customHeight="1">
      <c r="A2" s="1204" t="s">
        <v>1278</v>
      </c>
      <c r="B2" s="1204" t="s">
        <v>1279</v>
      </c>
      <c r="C2" s="1205"/>
      <c r="D2" s="1204" t="s">
        <v>608</v>
      </c>
      <c r="E2" s="1204"/>
      <c r="F2" s="1204"/>
      <c r="G2" s="1204"/>
      <c r="H2" s="1204" t="s">
        <v>588</v>
      </c>
      <c r="I2" s="1204"/>
      <c r="J2" s="1204"/>
      <c r="K2" s="1204"/>
      <c r="L2" s="986"/>
      <c r="M2" s="993"/>
      <c r="N2" s="1204" t="s">
        <v>258</v>
      </c>
      <c r="O2" s="1204"/>
      <c r="P2" s="986"/>
      <c r="Q2" s="1204" t="s">
        <v>1281</v>
      </c>
      <c r="R2" s="1204" t="s">
        <v>1282</v>
      </c>
      <c r="S2" s="1087" t="s">
        <v>1278</v>
      </c>
      <c r="T2" s="986" t="s">
        <v>1279</v>
      </c>
      <c r="U2" s="986"/>
      <c r="V2" s="987" t="s">
        <v>305</v>
      </c>
      <c r="W2" s="987"/>
      <c r="X2" s="987"/>
      <c r="Y2" s="987"/>
      <c r="Z2" s="987"/>
      <c r="AA2" s="1088"/>
      <c r="AB2" s="987" t="s">
        <v>306</v>
      </c>
      <c r="AC2" s="987"/>
      <c r="AD2" s="986" t="s">
        <v>418</v>
      </c>
      <c r="AE2" s="795"/>
    </row>
    <row r="3" spans="1:31" ht="155.25" customHeight="1">
      <c r="A3" s="1204"/>
      <c r="B3" s="1204"/>
      <c r="C3" s="1205"/>
      <c r="D3" s="986" t="s">
        <v>1418</v>
      </c>
      <c r="E3" s="986" t="s">
        <v>610</v>
      </c>
      <c r="F3" s="986" t="s">
        <v>1368</v>
      </c>
      <c r="G3" s="986" t="s">
        <v>419</v>
      </c>
      <c r="H3" s="986" t="s">
        <v>1283</v>
      </c>
      <c r="I3" s="986" t="s">
        <v>1284</v>
      </c>
      <c r="J3" s="986" t="s">
        <v>1285</v>
      </c>
      <c r="K3" s="986" t="s">
        <v>1286</v>
      </c>
      <c r="L3" s="986" t="s">
        <v>1369</v>
      </c>
      <c r="M3" s="993" t="s">
        <v>1280</v>
      </c>
      <c r="N3" s="986" t="s">
        <v>442</v>
      </c>
      <c r="O3" s="986" t="s">
        <v>420</v>
      </c>
      <c r="P3" s="986" t="s">
        <v>1287</v>
      </c>
      <c r="Q3" s="1204"/>
      <c r="R3" s="1204"/>
      <c r="S3" s="1087"/>
      <c r="T3" s="988"/>
      <c r="U3" s="986"/>
      <c r="V3" s="986" t="s">
        <v>261</v>
      </c>
      <c r="W3" s="986" t="s">
        <v>421</v>
      </c>
      <c r="X3" s="986" t="s">
        <v>422</v>
      </c>
      <c r="Y3" s="986" t="s">
        <v>1288</v>
      </c>
      <c r="Z3" s="986" t="s">
        <v>564</v>
      </c>
      <c r="AA3" s="986" t="s">
        <v>1370</v>
      </c>
      <c r="AB3" s="986" t="s">
        <v>273</v>
      </c>
      <c r="AC3" s="986" t="s">
        <v>274</v>
      </c>
      <c r="AD3" s="986"/>
      <c r="AE3" s="796" t="s">
        <v>1289</v>
      </c>
    </row>
    <row r="4" spans="1:31" ht="19.5" customHeight="1">
      <c r="A4" s="1198" t="s">
        <v>1290</v>
      </c>
      <c r="B4" s="992" t="s">
        <v>313</v>
      </c>
      <c r="C4" s="989" t="s">
        <v>4</v>
      </c>
      <c r="D4" s="990">
        <v>2175</v>
      </c>
      <c r="E4" s="990">
        <v>5644</v>
      </c>
      <c r="F4" s="990"/>
      <c r="G4" s="990">
        <v>2111</v>
      </c>
      <c r="H4" s="990">
        <v>0</v>
      </c>
      <c r="I4" s="990">
        <v>0</v>
      </c>
      <c r="J4" s="990">
        <v>0</v>
      </c>
      <c r="K4" s="990">
        <v>0</v>
      </c>
      <c r="L4" s="990"/>
      <c r="M4" s="990">
        <v>0</v>
      </c>
      <c r="N4" s="990">
        <v>0</v>
      </c>
      <c r="O4" s="990">
        <v>0</v>
      </c>
      <c r="P4" s="990">
        <v>83659</v>
      </c>
      <c r="Q4" s="990">
        <v>9930</v>
      </c>
      <c r="R4" s="991">
        <v>93589</v>
      </c>
      <c r="S4" s="1196" t="s">
        <v>1290</v>
      </c>
      <c r="T4" s="992" t="s">
        <v>313</v>
      </c>
      <c r="U4" s="989" t="s">
        <v>4</v>
      </c>
      <c r="V4" s="990">
        <v>58837</v>
      </c>
      <c r="W4" s="990">
        <v>15749</v>
      </c>
      <c r="X4" s="990">
        <v>18243</v>
      </c>
      <c r="Y4" s="990">
        <v>7136</v>
      </c>
      <c r="Z4" s="990">
        <v>0</v>
      </c>
      <c r="AA4" s="990">
        <v>0</v>
      </c>
      <c r="AB4" s="990">
        <v>760</v>
      </c>
      <c r="AC4" s="990">
        <v>0</v>
      </c>
      <c r="AD4" s="990">
        <v>93589</v>
      </c>
      <c r="AE4" s="798">
        <v>95394</v>
      </c>
    </row>
    <row r="5" spans="1:31" ht="19.5" customHeight="1">
      <c r="A5" s="1198"/>
      <c r="B5" s="992" t="s">
        <v>313</v>
      </c>
      <c r="C5" s="989" t="s">
        <v>1371</v>
      </c>
      <c r="D5" s="990">
        <v>2181</v>
      </c>
      <c r="E5" s="990">
        <v>5644</v>
      </c>
      <c r="F5" s="990"/>
      <c r="G5" s="990">
        <v>2111</v>
      </c>
      <c r="H5" s="990">
        <v>0</v>
      </c>
      <c r="I5" s="990">
        <v>0</v>
      </c>
      <c r="J5" s="990">
        <v>0</v>
      </c>
      <c r="K5" s="990">
        <v>0</v>
      </c>
      <c r="L5" s="990">
        <v>27</v>
      </c>
      <c r="M5" s="990">
        <v>0</v>
      </c>
      <c r="N5" s="990">
        <v>-27</v>
      </c>
      <c r="O5" s="990">
        <v>0</v>
      </c>
      <c r="P5" s="990">
        <v>83927</v>
      </c>
      <c r="Q5" s="990">
        <v>9936</v>
      </c>
      <c r="R5" s="991">
        <v>93863</v>
      </c>
      <c r="S5" s="1196"/>
      <c r="T5" s="992" t="s">
        <v>313</v>
      </c>
      <c r="U5" s="989" t="s">
        <v>1372</v>
      </c>
      <c r="V5" s="990">
        <v>59056</v>
      </c>
      <c r="W5" s="990">
        <v>15798</v>
      </c>
      <c r="X5" s="990">
        <v>18249</v>
      </c>
      <c r="Y5" s="990">
        <v>7136</v>
      </c>
      <c r="Z5" s="990">
        <v>0</v>
      </c>
      <c r="AA5" s="990">
        <v>0</v>
      </c>
      <c r="AB5" s="990">
        <v>760</v>
      </c>
      <c r="AC5" s="990">
        <v>0</v>
      </c>
      <c r="AD5" s="990">
        <v>93863</v>
      </c>
      <c r="AE5" s="798"/>
    </row>
    <row r="6" spans="1:31" ht="19.5" customHeight="1">
      <c r="A6" s="1198"/>
      <c r="B6" s="992" t="s">
        <v>313</v>
      </c>
      <c r="C6" s="989" t="s">
        <v>1373</v>
      </c>
      <c r="D6" s="990">
        <v>2181</v>
      </c>
      <c r="E6" s="990">
        <v>5644</v>
      </c>
      <c r="F6" s="990"/>
      <c r="G6" s="990">
        <v>2111</v>
      </c>
      <c r="H6" s="990">
        <v>0</v>
      </c>
      <c r="I6" s="990">
        <v>0</v>
      </c>
      <c r="J6" s="990">
        <v>0</v>
      </c>
      <c r="K6" s="990">
        <v>0</v>
      </c>
      <c r="L6" s="990">
        <v>0</v>
      </c>
      <c r="M6" s="990">
        <v>0</v>
      </c>
      <c r="N6" s="990">
        <v>0</v>
      </c>
      <c r="O6" s="990">
        <v>0</v>
      </c>
      <c r="P6" s="990">
        <v>84215</v>
      </c>
      <c r="Q6" s="990">
        <v>9936</v>
      </c>
      <c r="R6" s="991">
        <v>94151</v>
      </c>
      <c r="S6" s="1196"/>
      <c r="T6" s="992" t="s">
        <v>313</v>
      </c>
      <c r="U6" s="989" t="s">
        <v>1373</v>
      </c>
      <c r="V6" s="990">
        <v>59283</v>
      </c>
      <c r="W6" s="990">
        <v>15859</v>
      </c>
      <c r="X6" s="990">
        <v>18249</v>
      </c>
      <c r="Y6" s="990">
        <v>7136</v>
      </c>
      <c r="Z6" s="990">
        <v>0</v>
      </c>
      <c r="AA6" s="990">
        <v>0</v>
      </c>
      <c r="AB6" s="990">
        <v>760</v>
      </c>
      <c r="AC6" s="990">
        <v>0</v>
      </c>
      <c r="AD6" s="990">
        <v>94151</v>
      </c>
      <c r="AE6" s="798">
        <v>76053</v>
      </c>
    </row>
    <row r="7" spans="1:31" ht="19.5" customHeight="1">
      <c r="A7" s="1198"/>
      <c r="B7" s="992" t="s">
        <v>313</v>
      </c>
      <c r="C7" s="989" t="s">
        <v>1374</v>
      </c>
      <c r="D7" s="990">
        <v>2181</v>
      </c>
      <c r="E7" s="990">
        <v>5644</v>
      </c>
      <c r="F7" s="990"/>
      <c r="G7" s="990">
        <v>2111</v>
      </c>
      <c r="H7" s="990"/>
      <c r="I7" s="990">
        <v>0</v>
      </c>
      <c r="J7" s="990">
        <v>0</v>
      </c>
      <c r="K7" s="990">
        <v>0</v>
      </c>
      <c r="L7" s="990">
        <v>0</v>
      </c>
      <c r="M7" s="990">
        <v>0</v>
      </c>
      <c r="N7" s="990">
        <v>0</v>
      </c>
      <c r="O7" s="990">
        <v>0</v>
      </c>
      <c r="P7" s="990">
        <v>85467</v>
      </c>
      <c r="Q7" s="990">
        <v>9936</v>
      </c>
      <c r="R7" s="991">
        <v>95403</v>
      </c>
      <c r="S7" s="1196"/>
      <c r="T7" s="992" t="s">
        <v>1050</v>
      </c>
      <c r="U7" s="989" t="s">
        <v>1374</v>
      </c>
      <c r="V7" s="990">
        <v>60261</v>
      </c>
      <c r="W7" s="990">
        <v>16133</v>
      </c>
      <c r="X7" s="990">
        <v>18249</v>
      </c>
      <c r="Y7" s="990">
        <v>7136</v>
      </c>
      <c r="Z7" s="990">
        <v>0</v>
      </c>
      <c r="AA7" s="990">
        <v>0</v>
      </c>
      <c r="AB7" s="990">
        <v>760</v>
      </c>
      <c r="AC7" s="990">
        <v>0</v>
      </c>
      <c r="AD7" s="990">
        <v>95403</v>
      </c>
      <c r="AE7" s="798"/>
    </row>
    <row r="8" spans="1:31" ht="19.5" customHeight="1">
      <c r="A8" s="1198"/>
      <c r="B8" s="992" t="s">
        <v>313</v>
      </c>
      <c r="C8" s="989" t="s">
        <v>1375</v>
      </c>
      <c r="D8" s="990">
        <v>1181</v>
      </c>
      <c r="E8" s="990">
        <v>4844</v>
      </c>
      <c r="F8" s="990"/>
      <c r="G8" s="990">
        <v>1611</v>
      </c>
      <c r="H8" s="990"/>
      <c r="I8" s="990">
        <v>0</v>
      </c>
      <c r="J8" s="990">
        <v>0</v>
      </c>
      <c r="K8" s="990">
        <v>0</v>
      </c>
      <c r="L8" s="990">
        <v>0</v>
      </c>
      <c r="M8" s="990">
        <v>0</v>
      </c>
      <c r="N8" s="990">
        <v>0</v>
      </c>
      <c r="O8" s="990">
        <v>0</v>
      </c>
      <c r="P8" s="990">
        <v>87327</v>
      </c>
      <c r="Q8" s="990">
        <v>7636</v>
      </c>
      <c r="R8" s="991">
        <v>94963</v>
      </c>
      <c r="S8" s="1196"/>
      <c r="T8" s="992" t="s">
        <v>313</v>
      </c>
      <c r="U8" s="989" t="s">
        <v>1375</v>
      </c>
      <c r="V8" s="990">
        <v>60292</v>
      </c>
      <c r="W8" s="990">
        <v>16091</v>
      </c>
      <c r="X8" s="990">
        <v>17820</v>
      </c>
      <c r="Y8" s="990">
        <v>7136</v>
      </c>
      <c r="Z8" s="990">
        <v>0</v>
      </c>
      <c r="AA8" s="990">
        <v>0</v>
      </c>
      <c r="AB8" s="990">
        <v>760</v>
      </c>
      <c r="AC8" s="990">
        <v>0</v>
      </c>
      <c r="AD8" s="990">
        <v>94963</v>
      </c>
      <c r="AE8" s="797">
        <v>0</v>
      </c>
    </row>
    <row r="9" spans="1:31" ht="19.5" customHeight="1">
      <c r="A9" s="1198"/>
      <c r="B9" s="992" t="s">
        <v>1032</v>
      </c>
      <c r="C9" s="989"/>
      <c r="D9" s="990">
        <v>1030</v>
      </c>
      <c r="E9" s="990">
        <v>4779</v>
      </c>
      <c r="F9" s="990"/>
      <c r="G9" s="990">
        <v>1567</v>
      </c>
      <c r="H9" s="990"/>
      <c r="I9" s="990"/>
      <c r="J9" s="990"/>
      <c r="K9" s="990"/>
      <c r="L9" s="990"/>
      <c r="M9" s="990"/>
      <c r="N9" s="990"/>
      <c r="O9" s="990"/>
      <c r="P9" s="990">
        <v>87327</v>
      </c>
      <c r="Q9" s="990">
        <v>7376</v>
      </c>
      <c r="R9" s="991">
        <v>94703</v>
      </c>
      <c r="S9" s="1196"/>
      <c r="T9" s="992" t="s">
        <v>1032</v>
      </c>
      <c r="U9" s="989"/>
      <c r="V9" s="990">
        <v>59887</v>
      </c>
      <c r="W9" s="990">
        <v>15935</v>
      </c>
      <c r="X9" s="990">
        <v>15186</v>
      </c>
      <c r="Y9" s="990">
        <v>8117</v>
      </c>
      <c r="Z9" s="990"/>
      <c r="AA9" s="990"/>
      <c r="AB9" s="990">
        <v>747</v>
      </c>
      <c r="AC9" s="990">
        <v>0</v>
      </c>
      <c r="AD9" s="990">
        <v>91755</v>
      </c>
      <c r="AE9" s="799"/>
    </row>
    <row r="10" spans="1:31" ht="19.5" customHeight="1">
      <c r="A10" s="1198" t="s">
        <v>1291</v>
      </c>
      <c r="B10" s="992" t="s">
        <v>313</v>
      </c>
      <c r="C10" s="989" t="s">
        <v>4</v>
      </c>
      <c r="D10" s="990">
        <v>359</v>
      </c>
      <c r="E10" s="990">
        <v>4729</v>
      </c>
      <c r="F10" s="990"/>
      <c r="G10" s="990">
        <v>1674</v>
      </c>
      <c r="H10" s="990">
        <v>0</v>
      </c>
      <c r="I10" s="990">
        <v>0</v>
      </c>
      <c r="J10" s="990">
        <v>0</v>
      </c>
      <c r="K10" s="990">
        <v>0</v>
      </c>
      <c r="L10" s="990"/>
      <c r="M10" s="990">
        <v>0</v>
      </c>
      <c r="N10" s="990">
        <v>0</v>
      </c>
      <c r="O10" s="990">
        <v>0</v>
      </c>
      <c r="P10" s="990">
        <v>69767</v>
      </c>
      <c r="Q10" s="990">
        <v>6762</v>
      </c>
      <c r="R10" s="991">
        <v>76529</v>
      </c>
      <c r="S10" s="1196" t="s">
        <v>1291</v>
      </c>
      <c r="T10" s="992" t="s">
        <v>313</v>
      </c>
      <c r="U10" s="989" t="s">
        <v>4</v>
      </c>
      <c r="V10" s="990">
        <v>49391</v>
      </c>
      <c r="W10" s="990">
        <v>13243</v>
      </c>
      <c r="X10" s="990">
        <v>13065</v>
      </c>
      <c r="Y10" s="990">
        <v>6176</v>
      </c>
      <c r="Z10" s="990">
        <v>0</v>
      </c>
      <c r="AA10" s="990">
        <v>0</v>
      </c>
      <c r="AB10" s="990">
        <v>830</v>
      </c>
      <c r="AC10" s="990">
        <v>0</v>
      </c>
      <c r="AD10" s="990">
        <v>76529</v>
      </c>
      <c r="AE10" s="798">
        <v>108018</v>
      </c>
    </row>
    <row r="11" spans="1:31" ht="19.5" customHeight="1">
      <c r="A11" s="1198"/>
      <c r="B11" s="992" t="s">
        <v>313</v>
      </c>
      <c r="C11" s="989" t="s">
        <v>1372</v>
      </c>
      <c r="D11" s="990">
        <v>359</v>
      </c>
      <c r="E11" s="990">
        <v>4729</v>
      </c>
      <c r="F11" s="990"/>
      <c r="G11" s="990">
        <v>1674</v>
      </c>
      <c r="H11" s="990">
        <v>0</v>
      </c>
      <c r="I11" s="990">
        <v>0</v>
      </c>
      <c r="J11" s="990">
        <v>0</v>
      </c>
      <c r="K11" s="990">
        <v>0</v>
      </c>
      <c r="L11" s="990"/>
      <c r="M11" s="990">
        <v>0</v>
      </c>
      <c r="N11" s="990">
        <v>32</v>
      </c>
      <c r="O11" s="990">
        <v>0</v>
      </c>
      <c r="P11" s="990">
        <v>69938</v>
      </c>
      <c r="Q11" s="990">
        <v>6794</v>
      </c>
      <c r="R11" s="991">
        <v>76732</v>
      </c>
      <c r="S11" s="1196"/>
      <c r="T11" s="992" t="s">
        <v>313</v>
      </c>
      <c r="U11" s="989" t="s">
        <v>1372</v>
      </c>
      <c r="V11" s="990">
        <v>49534</v>
      </c>
      <c r="W11" s="990">
        <v>13271</v>
      </c>
      <c r="X11" s="990">
        <v>13097</v>
      </c>
      <c r="Y11" s="990">
        <v>6176</v>
      </c>
      <c r="Z11" s="990">
        <v>0</v>
      </c>
      <c r="AA11" s="990">
        <v>0</v>
      </c>
      <c r="AB11" s="990">
        <v>830</v>
      </c>
      <c r="AC11" s="990">
        <v>0</v>
      </c>
      <c r="AD11" s="990">
        <v>76732</v>
      </c>
      <c r="AE11" s="798"/>
    </row>
    <row r="12" spans="1:31" ht="19.5" customHeight="1">
      <c r="A12" s="1198"/>
      <c r="B12" s="992" t="s">
        <v>313</v>
      </c>
      <c r="C12" s="989" t="s">
        <v>1373</v>
      </c>
      <c r="D12" s="990">
        <v>359</v>
      </c>
      <c r="E12" s="990">
        <v>4729</v>
      </c>
      <c r="F12" s="990"/>
      <c r="G12" s="990">
        <v>1674</v>
      </c>
      <c r="H12" s="990">
        <v>0</v>
      </c>
      <c r="I12" s="990">
        <v>0</v>
      </c>
      <c r="J12" s="990">
        <v>0</v>
      </c>
      <c r="K12" s="990">
        <v>0</v>
      </c>
      <c r="L12" s="990"/>
      <c r="M12" s="990">
        <v>0</v>
      </c>
      <c r="N12" s="990">
        <v>32</v>
      </c>
      <c r="O12" s="990">
        <v>0</v>
      </c>
      <c r="P12" s="990">
        <v>70225</v>
      </c>
      <c r="Q12" s="990">
        <v>6794</v>
      </c>
      <c r="R12" s="991">
        <v>77019</v>
      </c>
      <c r="S12" s="1196"/>
      <c r="T12" s="992" t="s">
        <v>313</v>
      </c>
      <c r="U12" s="989" t="s">
        <v>1373</v>
      </c>
      <c r="V12" s="990">
        <v>49760</v>
      </c>
      <c r="W12" s="990">
        <v>13332</v>
      </c>
      <c r="X12" s="990">
        <v>13097</v>
      </c>
      <c r="Y12" s="990">
        <v>6176</v>
      </c>
      <c r="Z12" s="990">
        <v>0</v>
      </c>
      <c r="AA12" s="990">
        <v>0</v>
      </c>
      <c r="AB12" s="990">
        <v>830</v>
      </c>
      <c r="AC12" s="990">
        <v>0</v>
      </c>
      <c r="AD12" s="990">
        <v>77019</v>
      </c>
      <c r="AE12" s="798">
        <v>89937</v>
      </c>
    </row>
    <row r="13" spans="1:31" ht="19.5" customHeight="1">
      <c r="A13" s="1198"/>
      <c r="B13" s="992" t="s">
        <v>313</v>
      </c>
      <c r="C13" s="989" t="s">
        <v>1374</v>
      </c>
      <c r="D13" s="990">
        <v>359</v>
      </c>
      <c r="E13" s="990">
        <v>4729</v>
      </c>
      <c r="F13" s="990"/>
      <c r="G13" s="990">
        <v>1674</v>
      </c>
      <c r="H13" s="990">
        <v>0</v>
      </c>
      <c r="I13" s="990">
        <v>0</v>
      </c>
      <c r="J13" s="990">
        <v>0</v>
      </c>
      <c r="K13" s="990">
        <v>0</v>
      </c>
      <c r="L13" s="990"/>
      <c r="M13" s="990">
        <v>0</v>
      </c>
      <c r="N13" s="990">
        <v>32</v>
      </c>
      <c r="O13" s="990">
        <v>0</v>
      </c>
      <c r="P13" s="990">
        <v>71804</v>
      </c>
      <c r="Q13" s="990">
        <v>6794</v>
      </c>
      <c r="R13" s="991">
        <v>78598</v>
      </c>
      <c r="S13" s="1196"/>
      <c r="T13" s="992" t="s">
        <v>313</v>
      </c>
      <c r="U13" s="989" t="s">
        <v>1374</v>
      </c>
      <c r="V13" s="990">
        <v>50995</v>
      </c>
      <c r="W13" s="990">
        <v>13676</v>
      </c>
      <c r="X13" s="990">
        <v>13097</v>
      </c>
      <c r="Y13" s="990">
        <v>6176</v>
      </c>
      <c r="Z13" s="990">
        <v>0</v>
      </c>
      <c r="AA13" s="990">
        <v>0</v>
      </c>
      <c r="AB13" s="990">
        <v>830</v>
      </c>
      <c r="AC13" s="990">
        <v>0</v>
      </c>
      <c r="AD13" s="990">
        <v>78598</v>
      </c>
      <c r="AE13" s="798"/>
    </row>
    <row r="14" spans="1:31" ht="19.5" customHeight="1">
      <c r="A14" s="1198"/>
      <c r="B14" s="992" t="s">
        <v>313</v>
      </c>
      <c r="C14" s="989" t="s">
        <v>1375</v>
      </c>
      <c r="D14" s="990">
        <v>499</v>
      </c>
      <c r="E14" s="990">
        <v>3789</v>
      </c>
      <c r="F14" s="990"/>
      <c r="G14" s="990">
        <v>1174</v>
      </c>
      <c r="H14" s="990">
        <v>0</v>
      </c>
      <c r="I14" s="990">
        <v>0</v>
      </c>
      <c r="J14" s="990">
        <v>0</v>
      </c>
      <c r="K14" s="990">
        <v>0</v>
      </c>
      <c r="L14" s="990"/>
      <c r="M14" s="990">
        <v>0</v>
      </c>
      <c r="N14" s="990">
        <v>32</v>
      </c>
      <c r="O14" s="990">
        <v>0</v>
      </c>
      <c r="P14" s="990">
        <v>74057</v>
      </c>
      <c r="Q14" s="990">
        <v>5526</v>
      </c>
      <c r="R14" s="991">
        <v>79551</v>
      </c>
      <c r="S14" s="1196"/>
      <c r="T14" s="992" t="s">
        <v>313</v>
      </c>
      <c r="U14" s="989" t="s">
        <v>1375</v>
      </c>
      <c r="V14" s="990">
        <v>50921</v>
      </c>
      <c r="W14" s="990">
        <v>13689</v>
      </c>
      <c r="X14" s="990">
        <v>14111</v>
      </c>
      <c r="Y14" s="990">
        <v>6176</v>
      </c>
      <c r="Z14" s="990">
        <v>0</v>
      </c>
      <c r="AA14" s="990">
        <v>0</v>
      </c>
      <c r="AB14" s="990">
        <v>830</v>
      </c>
      <c r="AC14" s="990">
        <v>0</v>
      </c>
      <c r="AD14" s="990">
        <v>79551</v>
      </c>
      <c r="AE14" s="798">
        <v>78104</v>
      </c>
    </row>
    <row r="15" spans="1:31" ht="19.5" customHeight="1">
      <c r="A15" s="1198"/>
      <c r="B15" s="992" t="s">
        <v>1032</v>
      </c>
      <c r="C15" s="989"/>
      <c r="D15" s="1089">
        <v>496</v>
      </c>
      <c r="E15" s="990">
        <v>3783</v>
      </c>
      <c r="F15" s="990"/>
      <c r="G15" s="990">
        <v>1156</v>
      </c>
      <c r="H15" s="990"/>
      <c r="I15" s="990"/>
      <c r="J15" s="990"/>
      <c r="K15" s="990"/>
      <c r="L15" s="990"/>
      <c r="M15" s="990"/>
      <c r="N15" s="990">
        <v>32</v>
      </c>
      <c r="O15" s="990"/>
      <c r="P15" s="990">
        <v>74057</v>
      </c>
      <c r="Q15" s="990">
        <v>5467</v>
      </c>
      <c r="R15" s="991">
        <v>79524</v>
      </c>
      <c r="S15" s="1196"/>
      <c r="T15" s="992" t="s">
        <v>1032</v>
      </c>
      <c r="U15" s="989"/>
      <c r="V15" s="990">
        <v>50640</v>
      </c>
      <c r="W15" s="990">
        <v>13632</v>
      </c>
      <c r="X15" s="990">
        <v>12129</v>
      </c>
      <c r="Y15" s="990">
        <v>6443</v>
      </c>
      <c r="Z15" s="990"/>
      <c r="AA15" s="990"/>
      <c r="AB15" s="990">
        <v>538</v>
      </c>
      <c r="AC15" s="990"/>
      <c r="AD15" s="990">
        <v>76939</v>
      </c>
      <c r="AE15" s="798"/>
    </row>
    <row r="16" spans="1:31" ht="19.5" customHeight="1">
      <c r="A16" s="1202" t="s">
        <v>1292</v>
      </c>
      <c r="B16" s="992" t="s">
        <v>313</v>
      </c>
      <c r="C16" s="989" t="s">
        <v>4</v>
      </c>
      <c r="D16" s="990">
        <v>0</v>
      </c>
      <c r="E16" s="990">
        <v>987</v>
      </c>
      <c r="F16" s="990"/>
      <c r="G16" s="990">
        <v>267</v>
      </c>
      <c r="H16" s="990">
        <v>0</v>
      </c>
      <c r="I16" s="990">
        <v>0</v>
      </c>
      <c r="J16" s="990">
        <v>0</v>
      </c>
      <c r="K16" s="990">
        <v>0</v>
      </c>
      <c r="L16" s="990"/>
      <c r="M16" s="990">
        <v>0</v>
      </c>
      <c r="N16" s="990">
        <v>0</v>
      </c>
      <c r="O16" s="990">
        <v>0</v>
      </c>
      <c r="P16" s="990">
        <v>15938</v>
      </c>
      <c r="Q16" s="990">
        <v>1254</v>
      </c>
      <c r="R16" s="991">
        <v>17192</v>
      </c>
      <c r="S16" s="1196" t="s">
        <v>1292</v>
      </c>
      <c r="T16" s="992" t="s">
        <v>313</v>
      </c>
      <c r="U16" s="989" t="s">
        <v>4</v>
      </c>
      <c r="V16" s="990">
        <v>10318</v>
      </c>
      <c r="W16" s="990">
        <v>2786</v>
      </c>
      <c r="X16" s="990">
        <v>4088</v>
      </c>
      <c r="Y16" s="990">
        <v>1250</v>
      </c>
      <c r="Z16" s="990">
        <v>0</v>
      </c>
      <c r="AA16" s="990">
        <v>0</v>
      </c>
      <c r="AB16" s="990">
        <v>0</v>
      </c>
      <c r="AC16" s="990">
        <v>0</v>
      </c>
      <c r="AD16" s="990">
        <v>17192</v>
      </c>
      <c r="AE16" s="798">
        <v>32358</v>
      </c>
    </row>
    <row r="17" spans="1:31" ht="19.5" customHeight="1">
      <c r="A17" s="1202"/>
      <c r="B17" s="992" t="s">
        <v>313</v>
      </c>
      <c r="C17" s="989" t="s">
        <v>1372</v>
      </c>
      <c r="D17" s="990">
        <v>0</v>
      </c>
      <c r="E17" s="990">
        <v>987</v>
      </c>
      <c r="F17" s="990"/>
      <c r="G17" s="990">
        <v>267</v>
      </c>
      <c r="H17" s="990">
        <v>0</v>
      </c>
      <c r="I17" s="990">
        <v>0</v>
      </c>
      <c r="J17" s="990">
        <v>0</v>
      </c>
      <c r="K17" s="990">
        <v>0</v>
      </c>
      <c r="L17" s="990"/>
      <c r="M17" s="990">
        <v>0</v>
      </c>
      <c r="N17" s="990">
        <v>0</v>
      </c>
      <c r="O17" s="990">
        <v>0</v>
      </c>
      <c r="P17" s="990">
        <v>15938</v>
      </c>
      <c r="Q17" s="990">
        <v>1254</v>
      </c>
      <c r="R17" s="991">
        <v>17192</v>
      </c>
      <c r="S17" s="1196"/>
      <c r="T17" s="992" t="s">
        <v>313</v>
      </c>
      <c r="U17" s="989" t="s">
        <v>1372</v>
      </c>
      <c r="V17" s="990">
        <v>10318</v>
      </c>
      <c r="W17" s="990">
        <v>2786</v>
      </c>
      <c r="X17" s="990">
        <v>4088</v>
      </c>
      <c r="Y17" s="990">
        <v>1250</v>
      </c>
      <c r="Z17" s="990">
        <v>0</v>
      </c>
      <c r="AA17" s="990">
        <v>0</v>
      </c>
      <c r="AB17" s="990">
        <v>0</v>
      </c>
      <c r="AC17" s="990">
        <v>0</v>
      </c>
      <c r="AD17" s="990">
        <v>17192</v>
      </c>
      <c r="AE17" s="798"/>
    </row>
    <row r="18" spans="1:31" ht="19.5" customHeight="1">
      <c r="A18" s="1202"/>
      <c r="B18" s="992" t="s">
        <v>313</v>
      </c>
      <c r="C18" s="989" t="s">
        <v>1373</v>
      </c>
      <c r="D18" s="990">
        <v>0</v>
      </c>
      <c r="E18" s="990">
        <v>987</v>
      </c>
      <c r="F18" s="990"/>
      <c r="G18" s="990">
        <v>267</v>
      </c>
      <c r="H18" s="990">
        <v>0</v>
      </c>
      <c r="I18" s="990">
        <v>0</v>
      </c>
      <c r="J18" s="990">
        <v>0</v>
      </c>
      <c r="K18" s="990">
        <v>0</v>
      </c>
      <c r="L18" s="990"/>
      <c r="M18" s="990">
        <v>0</v>
      </c>
      <c r="N18" s="990">
        <v>0</v>
      </c>
      <c r="O18" s="990">
        <v>0</v>
      </c>
      <c r="P18" s="990">
        <v>16028</v>
      </c>
      <c r="Q18" s="990">
        <v>1254</v>
      </c>
      <c r="R18" s="991">
        <v>17282</v>
      </c>
      <c r="S18" s="1196"/>
      <c r="T18" s="992" t="s">
        <v>313</v>
      </c>
      <c r="U18" s="989" t="s">
        <v>1373</v>
      </c>
      <c r="V18" s="990">
        <v>10318</v>
      </c>
      <c r="W18" s="990">
        <v>2786</v>
      </c>
      <c r="X18" s="990">
        <v>4166</v>
      </c>
      <c r="Y18" s="990">
        <v>1250</v>
      </c>
      <c r="Z18" s="990">
        <v>0</v>
      </c>
      <c r="AA18" s="990">
        <v>0</v>
      </c>
      <c r="AB18" s="990">
        <v>12</v>
      </c>
      <c r="AC18" s="990">
        <v>0</v>
      </c>
      <c r="AD18" s="990">
        <v>17282</v>
      </c>
      <c r="AE18" s="798">
        <v>111179</v>
      </c>
    </row>
    <row r="19" spans="1:31" ht="19.5" customHeight="1">
      <c r="A19" s="1202"/>
      <c r="B19" s="992" t="s">
        <v>313</v>
      </c>
      <c r="C19" s="989" t="s">
        <v>1374</v>
      </c>
      <c r="D19" s="990">
        <v>0</v>
      </c>
      <c r="E19" s="990">
        <v>987</v>
      </c>
      <c r="F19" s="990"/>
      <c r="G19" s="990">
        <v>267</v>
      </c>
      <c r="H19" s="990">
        <v>0</v>
      </c>
      <c r="I19" s="990">
        <v>0</v>
      </c>
      <c r="J19" s="990">
        <v>0</v>
      </c>
      <c r="K19" s="990">
        <v>0</v>
      </c>
      <c r="L19" s="990"/>
      <c r="M19" s="990">
        <v>0</v>
      </c>
      <c r="N19" s="990">
        <v>0</v>
      </c>
      <c r="O19" s="990">
        <v>0</v>
      </c>
      <c r="P19" s="990">
        <v>16028</v>
      </c>
      <c r="Q19" s="990">
        <v>1254</v>
      </c>
      <c r="R19" s="991">
        <v>17282</v>
      </c>
      <c r="S19" s="1196"/>
      <c r="T19" s="992" t="s">
        <v>313</v>
      </c>
      <c r="U19" s="989" t="s">
        <v>1374</v>
      </c>
      <c r="V19" s="990">
        <v>10318</v>
      </c>
      <c r="W19" s="990">
        <v>2786</v>
      </c>
      <c r="X19" s="990">
        <v>4166</v>
      </c>
      <c r="Y19" s="990">
        <v>1250</v>
      </c>
      <c r="Z19" s="990">
        <v>0</v>
      </c>
      <c r="AA19" s="990">
        <v>0</v>
      </c>
      <c r="AB19" s="990">
        <v>12</v>
      </c>
      <c r="AC19" s="990">
        <v>0</v>
      </c>
      <c r="AD19" s="990">
        <v>17282</v>
      </c>
      <c r="AE19" s="798"/>
    </row>
    <row r="20" spans="1:31" ht="19.5" customHeight="1">
      <c r="A20" s="1202"/>
      <c r="B20" s="992" t="s">
        <v>313</v>
      </c>
      <c r="C20" s="989" t="s">
        <v>1375</v>
      </c>
      <c r="D20" s="990">
        <v>0</v>
      </c>
      <c r="E20" s="990">
        <v>987</v>
      </c>
      <c r="F20" s="990"/>
      <c r="G20" s="990">
        <v>267</v>
      </c>
      <c r="H20" s="990">
        <v>0</v>
      </c>
      <c r="I20" s="990">
        <v>0</v>
      </c>
      <c r="J20" s="990">
        <v>0</v>
      </c>
      <c r="K20" s="990">
        <v>0</v>
      </c>
      <c r="L20" s="990"/>
      <c r="M20" s="990">
        <v>0</v>
      </c>
      <c r="N20" s="990">
        <v>0</v>
      </c>
      <c r="O20" s="990">
        <v>0</v>
      </c>
      <c r="P20" s="990">
        <v>16575</v>
      </c>
      <c r="Q20" s="990">
        <v>1254</v>
      </c>
      <c r="R20" s="991">
        <v>17829</v>
      </c>
      <c r="S20" s="1196"/>
      <c r="T20" s="992" t="s">
        <v>313</v>
      </c>
      <c r="U20" s="989" t="s">
        <v>1375</v>
      </c>
      <c r="V20" s="990">
        <v>10438</v>
      </c>
      <c r="W20" s="990">
        <v>2837</v>
      </c>
      <c r="X20" s="990">
        <v>4392</v>
      </c>
      <c r="Y20" s="990">
        <v>1250</v>
      </c>
      <c r="Z20" s="990">
        <v>0</v>
      </c>
      <c r="AA20" s="990">
        <v>0</v>
      </c>
      <c r="AB20" s="990">
        <v>162</v>
      </c>
      <c r="AC20" s="990">
        <v>0</v>
      </c>
      <c r="AD20" s="990">
        <v>17829</v>
      </c>
      <c r="AE20" s="798">
        <v>123437</v>
      </c>
    </row>
    <row r="21" spans="1:31" ht="19.5" customHeight="1">
      <c r="A21" s="1202"/>
      <c r="B21" s="992" t="s">
        <v>1032</v>
      </c>
      <c r="C21" s="989"/>
      <c r="D21" s="1089"/>
      <c r="E21" s="990">
        <v>621</v>
      </c>
      <c r="F21" s="990"/>
      <c r="G21" s="990">
        <v>168</v>
      </c>
      <c r="H21" s="990"/>
      <c r="I21" s="990"/>
      <c r="J21" s="990"/>
      <c r="K21" s="990"/>
      <c r="L21" s="990"/>
      <c r="M21" s="990"/>
      <c r="N21" s="990"/>
      <c r="O21" s="990"/>
      <c r="P21" s="990">
        <v>16575</v>
      </c>
      <c r="Q21" s="990">
        <v>789</v>
      </c>
      <c r="R21" s="991">
        <v>17364</v>
      </c>
      <c r="S21" s="1196"/>
      <c r="T21" s="992" t="s">
        <v>1032</v>
      </c>
      <c r="U21" s="989"/>
      <c r="V21" s="990">
        <v>10425</v>
      </c>
      <c r="W21" s="990">
        <v>2836</v>
      </c>
      <c r="X21" s="990">
        <v>3372</v>
      </c>
      <c r="Y21" s="990">
        <v>1357</v>
      </c>
      <c r="Z21" s="990"/>
      <c r="AA21" s="990"/>
      <c r="AB21" s="990">
        <v>160</v>
      </c>
      <c r="AC21" s="990"/>
      <c r="AD21" s="990">
        <v>16793</v>
      </c>
      <c r="AE21" s="798"/>
    </row>
    <row r="22" spans="1:31" ht="19.5" customHeight="1">
      <c r="A22" s="1198" t="s">
        <v>1293</v>
      </c>
      <c r="B22" s="992" t="s">
        <v>313</v>
      </c>
      <c r="C22" s="989" t="s">
        <v>4</v>
      </c>
      <c r="D22" s="990">
        <v>7660</v>
      </c>
      <c r="E22" s="990">
        <v>5490</v>
      </c>
      <c r="F22" s="990"/>
      <c r="G22" s="990">
        <v>3549</v>
      </c>
      <c r="H22" s="990">
        <v>0</v>
      </c>
      <c r="I22" s="990">
        <v>0</v>
      </c>
      <c r="J22" s="990">
        <v>0</v>
      </c>
      <c r="K22" s="990">
        <v>0</v>
      </c>
      <c r="L22" s="990"/>
      <c r="M22" s="990">
        <v>0</v>
      </c>
      <c r="N22" s="990">
        <v>0</v>
      </c>
      <c r="O22" s="990">
        <v>0</v>
      </c>
      <c r="P22" s="990">
        <v>88255</v>
      </c>
      <c r="Q22" s="990">
        <v>16699</v>
      </c>
      <c r="R22" s="991">
        <v>104954</v>
      </c>
      <c r="S22" s="1196" t="s">
        <v>1293</v>
      </c>
      <c r="T22" s="992" t="s">
        <v>313</v>
      </c>
      <c r="U22" s="989" t="s">
        <v>4</v>
      </c>
      <c r="V22" s="990">
        <v>61088</v>
      </c>
      <c r="W22" s="990">
        <v>16024</v>
      </c>
      <c r="X22" s="990">
        <v>27842</v>
      </c>
      <c r="Y22" s="990">
        <v>7190</v>
      </c>
      <c r="Z22" s="990">
        <v>0</v>
      </c>
      <c r="AA22" s="990">
        <v>0</v>
      </c>
      <c r="AB22" s="990">
        <v>0</v>
      </c>
      <c r="AC22" s="990">
        <v>0</v>
      </c>
      <c r="AD22" s="990">
        <v>104954</v>
      </c>
      <c r="AE22" s="798">
        <v>1760</v>
      </c>
    </row>
    <row r="23" spans="1:31" ht="19.5" customHeight="1">
      <c r="A23" s="1198"/>
      <c r="B23" s="992" t="s">
        <v>313</v>
      </c>
      <c r="C23" s="989" t="s">
        <v>1372</v>
      </c>
      <c r="D23" s="990">
        <v>7660</v>
      </c>
      <c r="E23" s="990">
        <v>5490</v>
      </c>
      <c r="F23" s="990"/>
      <c r="G23" s="990">
        <v>3549</v>
      </c>
      <c r="H23" s="990">
        <v>0</v>
      </c>
      <c r="I23" s="990">
        <v>0</v>
      </c>
      <c r="J23" s="990">
        <v>0</v>
      </c>
      <c r="K23" s="990">
        <v>0</v>
      </c>
      <c r="L23" s="990"/>
      <c r="M23" s="990">
        <v>0</v>
      </c>
      <c r="N23" s="990">
        <v>311</v>
      </c>
      <c r="O23" s="990">
        <v>0</v>
      </c>
      <c r="P23" s="990">
        <v>88740</v>
      </c>
      <c r="Q23" s="990">
        <v>17010</v>
      </c>
      <c r="R23" s="991">
        <v>105750</v>
      </c>
      <c r="S23" s="1196"/>
      <c r="T23" s="992" t="s">
        <v>313</v>
      </c>
      <c r="U23" s="989" t="s">
        <v>1372</v>
      </c>
      <c r="V23" s="990">
        <v>61392</v>
      </c>
      <c r="W23" s="990">
        <v>16105</v>
      </c>
      <c r="X23" s="990">
        <v>27629</v>
      </c>
      <c r="Y23" s="990">
        <v>7190</v>
      </c>
      <c r="Z23" s="990">
        <v>0</v>
      </c>
      <c r="AA23" s="990">
        <v>311</v>
      </c>
      <c r="AB23" s="990">
        <v>313</v>
      </c>
      <c r="AC23" s="990">
        <v>0</v>
      </c>
      <c r="AD23" s="990">
        <v>105750</v>
      </c>
      <c r="AE23" s="798"/>
    </row>
    <row r="24" spans="1:31" ht="19.5" customHeight="1">
      <c r="A24" s="1198"/>
      <c r="B24" s="992" t="s">
        <v>313</v>
      </c>
      <c r="C24" s="989" t="s">
        <v>1373</v>
      </c>
      <c r="D24" s="990">
        <v>9539</v>
      </c>
      <c r="E24" s="990">
        <v>5490</v>
      </c>
      <c r="F24" s="990"/>
      <c r="G24" s="990">
        <v>3570</v>
      </c>
      <c r="H24" s="990">
        <v>0</v>
      </c>
      <c r="I24" s="990">
        <v>0</v>
      </c>
      <c r="J24" s="990">
        <v>0</v>
      </c>
      <c r="K24" s="990">
        <v>0</v>
      </c>
      <c r="L24" s="990"/>
      <c r="M24" s="990">
        <v>0</v>
      </c>
      <c r="N24" s="990">
        <v>311</v>
      </c>
      <c r="O24" s="990">
        <v>0</v>
      </c>
      <c r="P24" s="990">
        <v>89035</v>
      </c>
      <c r="Q24" s="990">
        <v>18910</v>
      </c>
      <c r="R24" s="991">
        <v>107945</v>
      </c>
      <c r="S24" s="1196"/>
      <c r="T24" s="992" t="s">
        <v>313</v>
      </c>
      <c r="U24" s="989" t="s">
        <v>1373</v>
      </c>
      <c r="V24" s="990">
        <v>61427</v>
      </c>
      <c r="W24" s="990">
        <v>16115</v>
      </c>
      <c r="X24" s="990">
        <v>29779</v>
      </c>
      <c r="Y24" s="990">
        <v>7190</v>
      </c>
      <c r="Z24" s="990">
        <v>0</v>
      </c>
      <c r="AA24" s="990">
        <v>311</v>
      </c>
      <c r="AB24" s="990">
        <v>313</v>
      </c>
      <c r="AC24" s="990">
        <v>0</v>
      </c>
      <c r="AD24" s="990">
        <v>107945</v>
      </c>
      <c r="AE24" s="798">
        <v>39485</v>
      </c>
    </row>
    <row r="25" spans="1:31" ht="19.5" customHeight="1">
      <c r="A25" s="1198"/>
      <c r="B25" s="992" t="s">
        <v>313</v>
      </c>
      <c r="C25" s="989" t="s">
        <v>1374</v>
      </c>
      <c r="D25" s="990">
        <v>10010</v>
      </c>
      <c r="E25" s="990">
        <v>5490</v>
      </c>
      <c r="F25" s="990"/>
      <c r="G25" s="990">
        <v>3570</v>
      </c>
      <c r="H25" s="990">
        <v>0</v>
      </c>
      <c r="I25" s="990">
        <v>0</v>
      </c>
      <c r="J25" s="990">
        <v>0</v>
      </c>
      <c r="K25" s="990">
        <v>0</v>
      </c>
      <c r="L25" s="990"/>
      <c r="M25" s="990">
        <v>0</v>
      </c>
      <c r="N25" s="990">
        <v>311</v>
      </c>
      <c r="O25" s="990">
        <v>0</v>
      </c>
      <c r="P25" s="990">
        <v>87333</v>
      </c>
      <c r="Q25" s="990">
        <v>19381</v>
      </c>
      <c r="R25" s="991">
        <v>106714</v>
      </c>
      <c r="S25" s="1196"/>
      <c r="T25" s="992" t="s">
        <v>313</v>
      </c>
      <c r="U25" s="989" t="s">
        <v>1374</v>
      </c>
      <c r="V25" s="990">
        <v>60086</v>
      </c>
      <c r="W25" s="990">
        <v>15754</v>
      </c>
      <c r="X25" s="990">
        <v>30170</v>
      </c>
      <c r="Y25" s="990">
        <v>7190</v>
      </c>
      <c r="Z25" s="990">
        <v>0</v>
      </c>
      <c r="AA25" s="990">
        <v>311</v>
      </c>
      <c r="AB25" s="990">
        <v>393</v>
      </c>
      <c r="AC25" s="990">
        <v>0</v>
      </c>
      <c r="AD25" s="990">
        <v>106714</v>
      </c>
      <c r="AE25" s="798"/>
    </row>
    <row r="26" spans="1:31" ht="19.5" customHeight="1">
      <c r="A26" s="1198"/>
      <c r="B26" s="992" t="s">
        <v>313</v>
      </c>
      <c r="C26" s="989" t="s">
        <v>1375</v>
      </c>
      <c r="D26" s="990">
        <v>8310</v>
      </c>
      <c r="E26" s="990">
        <v>4990</v>
      </c>
      <c r="F26" s="990"/>
      <c r="G26" s="990">
        <v>2970</v>
      </c>
      <c r="H26" s="990">
        <v>0</v>
      </c>
      <c r="I26" s="990">
        <v>0</v>
      </c>
      <c r="J26" s="990">
        <v>0</v>
      </c>
      <c r="K26" s="990">
        <v>0</v>
      </c>
      <c r="L26" s="990"/>
      <c r="M26" s="990">
        <v>0</v>
      </c>
      <c r="N26" s="990">
        <v>311</v>
      </c>
      <c r="O26" s="990">
        <v>0</v>
      </c>
      <c r="P26" s="990">
        <v>89036</v>
      </c>
      <c r="Q26" s="990">
        <v>16581</v>
      </c>
      <c r="R26" s="991">
        <v>105617</v>
      </c>
      <c r="S26" s="1196"/>
      <c r="T26" s="992" t="s">
        <v>313</v>
      </c>
      <c r="U26" s="989" t="s">
        <v>1375</v>
      </c>
      <c r="V26" s="990">
        <v>59995</v>
      </c>
      <c r="W26" s="990">
        <v>15858</v>
      </c>
      <c r="X26" s="990">
        <v>29049</v>
      </c>
      <c r="Y26" s="990">
        <v>7190</v>
      </c>
      <c r="Z26" s="990">
        <v>0</v>
      </c>
      <c r="AA26" s="990">
        <v>311</v>
      </c>
      <c r="AB26" s="990">
        <v>404</v>
      </c>
      <c r="AC26" s="990">
        <v>0</v>
      </c>
      <c r="AD26" s="990">
        <v>105617</v>
      </c>
      <c r="AE26" s="798"/>
    </row>
    <row r="27" spans="1:31" ht="19.5" customHeight="1">
      <c r="A27" s="1198"/>
      <c r="B27" s="992" t="s">
        <v>1032</v>
      </c>
      <c r="C27" s="989"/>
      <c r="D27" s="990">
        <v>8223</v>
      </c>
      <c r="E27" s="990">
        <v>4977</v>
      </c>
      <c r="F27" s="990"/>
      <c r="G27" s="990">
        <v>2951</v>
      </c>
      <c r="H27" s="990"/>
      <c r="I27" s="990"/>
      <c r="J27" s="990"/>
      <c r="K27" s="990"/>
      <c r="L27" s="990"/>
      <c r="M27" s="990"/>
      <c r="N27" s="990">
        <v>311</v>
      </c>
      <c r="O27" s="990"/>
      <c r="P27" s="990">
        <v>89034</v>
      </c>
      <c r="Q27" s="990">
        <v>16462</v>
      </c>
      <c r="R27" s="991">
        <v>105496</v>
      </c>
      <c r="S27" s="1196"/>
      <c r="T27" s="992" t="s">
        <v>1032</v>
      </c>
      <c r="U27" s="989"/>
      <c r="V27" s="990">
        <v>59608</v>
      </c>
      <c r="W27" s="990">
        <v>15858</v>
      </c>
      <c r="X27" s="990">
        <v>25636</v>
      </c>
      <c r="Y27" s="990">
        <v>9859</v>
      </c>
      <c r="Z27" s="990"/>
      <c r="AA27" s="990">
        <v>311</v>
      </c>
      <c r="AB27" s="990">
        <v>403</v>
      </c>
      <c r="AC27" s="990"/>
      <c r="AD27" s="990">
        <v>101816</v>
      </c>
      <c r="AE27" s="798"/>
    </row>
    <row r="28" spans="1:31" ht="19.5" customHeight="1">
      <c r="A28" s="1198" t="s">
        <v>1294</v>
      </c>
      <c r="B28" s="992" t="s">
        <v>313</v>
      </c>
      <c r="C28" s="989" t="s">
        <v>4</v>
      </c>
      <c r="D28" s="990">
        <v>16579</v>
      </c>
      <c r="E28" s="990">
        <v>3270</v>
      </c>
      <c r="F28" s="990"/>
      <c r="G28" s="990">
        <v>5359</v>
      </c>
      <c r="H28" s="990">
        <v>0</v>
      </c>
      <c r="I28" s="990">
        <v>0</v>
      </c>
      <c r="J28" s="990">
        <v>0</v>
      </c>
      <c r="K28" s="990">
        <v>0</v>
      </c>
      <c r="L28" s="990"/>
      <c r="M28" s="990">
        <v>0</v>
      </c>
      <c r="N28" s="990">
        <v>0</v>
      </c>
      <c r="O28" s="990">
        <v>0</v>
      </c>
      <c r="P28" s="990">
        <v>67404</v>
      </c>
      <c r="Q28" s="990">
        <v>25208</v>
      </c>
      <c r="R28" s="991">
        <v>92612</v>
      </c>
      <c r="S28" s="1196" t="s">
        <v>1294</v>
      </c>
      <c r="T28" s="992" t="s">
        <v>313</v>
      </c>
      <c r="U28" s="989" t="s">
        <v>4</v>
      </c>
      <c r="V28" s="990">
        <v>44524</v>
      </c>
      <c r="W28" s="990">
        <v>11849</v>
      </c>
      <c r="X28" s="990">
        <v>32539</v>
      </c>
      <c r="Y28" s="990">
        <v>3731</v>
      </c>
      <c r="Z28" s="990">
        <v>0</v>
      </c>
      <c r="AA28" s="990">
        <v>0</v>
      </c>
      <c r="AB28" s="990">
        <v>2000</v>
      </c>
      <c r="AC28" s="990">
        <v>1700</v>
      </c>
      <c r="AD28" s="990">
        <v>92612</v>
      </c>
      <c r="AE28" s="798">
        <v>148783</v>
      </c>
    </row>
    <row r="29" spans="1:31" ht="19.5" customHeight="1">
      <c r="A29" s="1198"/>
      <c r="B29" s="992" t="s">
        <v>313</v>
      </c>
      <c r="C29" s="989" t="s">
        <v>1372</v>
      </c>
      <c r="D29" s="990">
        <v>16579</v>
      </c>
      <c r="E29" s="990">
        <v>3270</v>
      </c>
      <c r="F29" s="990"/>
      <c r="G29" s="990">
        <v>5359</v>
      </c>
      <c r="H29" s="990">
        <v>0</v>
      </c>
      <c r="I29" s="990">
        <v>0</v>
      </c>
      <c r="J29" s="990">
        <v>0</v>
      </c>
      <c r="K29" s="990">
        <v>0</v>
      </c>
      <c r="L29" s="990"/>
      <c r="M29" s="990">
        <v>0</v>
      </c>
      <c r="N29" s="990">
        <v>91</v>
      </c>
      <c r="O29" s="990">
        <v>0</v>
      </c>
      <c r="P29" s="990">
        <v>67631</v>
      </c>
      <c r="Q29" s="990">
        <v>25299</v>
      </c>
      <c r="R29" s="991">
        <v>92930</v>
      </c>
      <c r="S29" s="1196"/>
      <c r="T29" s="992" t="s">
        <v>313</v>
      </c>
      <c r="U29" s="989" t="s">
        <v>1372</v>
      </c>
      <c r="V29" s="990">
        <v>44711</v>
      </c>
      <c r="W29" s="990">
        <v>11889</v>
      </c>
      <c r="X29" s="990">
        <v>32630</v>
      </c>
      <c r="Y29" s="990">
        <v>3731</v>
      </c>
      <c r="Z29" s="990">
        <v>0</v>
      </c>
      <c r="AA29" s="990">
        <v>0</v>
      </c>
      <c r="AB29" s="990">
        <v>2000</v>
      </c>
      <c r="AC29" s="990">
        <v>1700</v>
      </c>
      <c r="AD29" s="990">
        <v>92930</v>
      </c>
      <c r="AE29" s="798"/>
    </row>
    <row r="30" spans="1:31" ht="19.5" customHeight="1">
      <c r="A30" s="1198"/>
      <c r="B30" s="992" t="s">
        <v>313</v>
      </c>
      <c r="C30" s="989" t="s">
        <v>1373</v>
      </c>
      <c r="D30" s="990">
        <v>16579</v>
      </c>
      <c r="E30" s="990">
        <v>3270</v>
      </c>
      <c r="F30" s="990"/>
      <c r="G30" s="990">
        <v>5359</v>
      </c>
      <c r="H30" s="990">
        <v>0</v>
      </c>
      <c r="I30" s="990">
        <v>0</v>
      </c>
      <c r="J30" s="990">
        <v>0</v>
      </c>
      <c r="K30" s="990">
        <v>0</v>
      </c>
      <c r="L30" s="990"/>
      <c r="M30" s="990">
        <v>0</v>
      </c>
      <c r="N30" s="990">
        <v>91</v>
      </c>
      <c r="O30" s="990">
        <v>0</v>
      </c>
      <c r="P30" s="990">
        <v>67878</v>
      </c>
      <c r="Q30" s="990">
        <v>25299</v>
      </c>
      <c r="R30" s="991">
        <v>93177</v>
      </c>
      <c r="S30" s="1196"/>
      <c r="T30" s="992" t="s">
        <v>313</v>
      </c>
      <c r="U30" s="989" t="s">
        <v>1373</v>
      </c>
      <c r="V30" s="990">
        <v>44905</v>
      </c>
      <c r="W30" s="990">
        <v>11942</v>
      </c>
      <c r="X30" s="990">
        <v>32630</v>
      </c>
      <c r="Y30" s="990">
        <v>3731</v>
      </c>
      <c r="Z30" s="990">
        <v>0</v>
      </c>
      <c r="AA30" s="990">
        <v>0</v>
      </c>
      <c r="AB30" s="990">
        <v>2000</v>
      </c>
      <c r="AC30" s="990">
        <v>1700</v>
      </c>
      <c r="AD30" s="990">
        <v>93177</v>
      </c>
      <c r="AE30" s="798">
        <v>52184</v>
      </c>
    </row>
    <row r="31" spans="1:31" ht="19.5" customHeight="1">
      <c r="A31" s="1198"/>
      <c r="B31" s="992" t="s">
        <v>313</v>
      </c>
      <c r="C31" s="989" t="s">
        <v>1374</v>
      </c>
      <c r="D31" s="990">
        <v>16579</v>
      </c>
      <c r="E31" s="990">
        <v>3270</v>
      </c>
      <c r="F31" s="990"/>
      <c r="G31" s="990">
        <v>5359</v>
      </c>
      <c r="H31" s="990">
        <v>0</v>
      </c>
      <c r="I31" s="990">
        <v>0</v>
      </c>
      <c r="J31" s="990">
        <v>0</v>
      </c>
      <c r="K31" s="990">
        <v>0</v>
      </c>
      <c r="L31" s="990"/>
      <c r="M31" s="990">
        <v>0</v>
      </c>
      <c r="N31" s="990">
        <v>91</v>
      </c>
      <c r="O31" s="990">
        <v>0</v>
      </c>
      <c r="P31" s="990">
        <v>67049</v>
      </c>
      <c r="Q31" s="990">
        <v>25299</v>
      </c>
      <c r="R31" s="991">
        <v>92348</v>
      </c>
      <c r="S31" s="1196"/>
      <c r="T31" s="992" t="s">
        <v>313</v>
      </c>
      <c r="U31" s="989" t="s">
        <v>1374</v>
      </c>
      <c r="V31" s="990">
        <v>43674</v>
      </c>
      <c r="W31" s="990">
        <v>11624</v>
      </c>
      <c r="X31" s="990">
        <v>33350</v>
      </c>
      <c r="Y31" s="990">
        <v>3731</v>
      </c>
      <c r="Z31" s="990">
        <v>0</v>
      </c>
      <c r="AA31" s="990">
        <v>0</v>
      </c>
      <c r="AB31" s="990">
        <v>2000</v>
      </c>
      <c r="AC31" s="990">
        <v>1700</v>
      </c>
      <c r="AD31" s="990">
        <v>92348</v>
      </c>
      <c r="AE31" s="798"/>
    </row>
    <row r="32" spans="1:31" ht="19.5" customHeight="1">
      <c r="A32" s="1198"/>
      <c r="B32" s="992" t="s">
        <v>313</v>
      </c>
      <c r="C32" s="989" t="s">
        <v>1375</v>
      </c>
      <c r="D32" s="990">
        <v>18679</v>
      </c>
      <c r="E32" s="990">
        <v>3270</v>
      </c>
      <c r="F32" s="990"/>
      <c r="G32" s="990">
        <v>5879</v>
      </c>
      <c r="H32" s="990">
        <v>0</v>
      </c>
      <c r="I32" s="990">
        <v>0</v>
      </c>
      <c r="J32" s="990">
        <v>0</v>
      </c>
      <c r="K32" s="990">
        <v>0</v>
      </c>
      <c r="L32" s="990"/>
      <c r="M32" s="990">
        <v>0</v>
      </c>
      <c r="N32" s="990">
        <v>91</v>
      </c>
      <c r="O32" s="990">
        <v>0</v>
      </c>
      <c r="P32" s="990">
        <v>62235</v>
      </c>
      <c r="Q32" s="990">
        <v>27919</v>
      </c>
      <c r="R32" s="991">
        <v>90154</v>
      </c>
      <c r="S32" s="1196"/>
      <c r="T32" s="992" t="s">
        <v>313</v>
      </c>
      <c r="U32" s="989" t="s">
        <v>1375</v>
      </c>
      <c r="V32" s="990">
        <v>43716</v>
      </c>
      <c r="W32" s="990">
        <v>11633</v>
      </c>
      <c r="X32" s="990">
        <v>30909</v>
      </c>
      <c r="Y32" s="990">
        <v>3731</v>
      </c>
      <c r="Z32" s="990">
        <v>0</v>
      </c>
      <c r="AA32" s="990">
        <v>0</v>
      </c>
      <c r="AB32" s="990">
        <v>2196</v>
      </c>
      <c r="AC32" s="990">
        <v>1700</v>
      </c>
      <c r="AD32" s="990">
        <v>90154</v>
      </c>
      <c r="AE32" s="798">
        <v>200967</v>
      </c>
    </row>
    <row r="33" spans="1:31" ht="19.5" customHeight="1">
      <c r="A33" s="1198"/>
      <c r="B33" s="992" t="s">
        <v>1032</v>
      </c>
      <c r="C33" s="989"/>
      <c r="D33" s="990">
        <v>18668</v>
      </c>
      <c r="E33" s="990">
        <v>3097</v>
      </c>
      <c r="F33" s="990"/>
      <c r="G33" s="990">
        <v>5877</v>
      </c>
      <c r="H33" s="990"/>
      <c r="I33" s="990"/>
      <c r="J33" s="990"/>
      <c r="K33" s="990"/>
      <c r="L33" s="990"/>
      <c r="M33" s="990"/>
      <c r="N33" s="990">
        <v>91</v>
      </c>
      <c r="O33" s="990"/>
      <c r="P33" s="990">
        <v>61853</v>
      </c>
      <c r="Q33" s="990">
        <v>27733</v>
      </c>
      <c r="R33" s="991">
        <v>89586</v>
      </c>
      <c r="S33" s="1196"/>
      <c r="T33" s="992" t="s">
        <v>1032</v>
      </c>
      <c r="U33" s="989"/>
      <c r="V33" s="990">
        <v>42812</v>
      </c>
      <c r="W33" s="990">
        <v>11275</v>
      </c>
      <c r="X33" s="990">
        <v>30231</v>
      </c>
      <c r="Y33" s="990">
        <v>16683</v>
      </c>
      <c r="Z33" s="990"/>
      <c r="AA33" s="990"/>
      <c r="AB33" s="990">
        <v>2196</v>
      </c>
      <c r="AC33" s="990">
        <v>200</v>
      </c>
      <c r="AD33" s="990">
        <v>86714</v>
      </c>
      <c r="AE33" s="798"/>
    </row>
    <row r="34" spans="1:31" ht="19.5" customHeight="1">
      <c r="A34" s="1198" t="s">
        <v>1295</v>
      </c>
      <c r="B34" s="992" t="s">
        <v>313</v>
      </c>
      <c r="C34" s="989" t="s">
        <v>4</v>
      </c>
      <c r="D34" s="990">
        <v>289</v>
      </c>
      <c r="E34" s="990">
        <v>5137</v>
      </c>
      <c r="F34" s="990"/>
      <c r="G34" s="990">
        <v>1765</v>
      </c>
      <c r="H34" s="990">
        <v>0</v>
      </c>
      <c r="I34" s="990">
        <v>0</v>
      </c>
      <c r="J34" s="990">
        <v>900</v>
      </c>
      <c r="K34" s="990">
        <v>0</v>
      </c>
      <c r="L34" s="990"/>
      <c r="M34" s="990">
        <v>0</v>
      </c>
      <c r="N34" s="990">
        <v>0</v>
      </c>
      <c r="O34" s="990">
        <v>0</v>
      </c>
      <c r="P34" s="990">
        <v>71391</v>
      </c>
      <c r="Q34" s="990">
        <v>8091</v>
      </c>
      <c r="R34" s="991">
        <v>79482</v>
      </c>
      <c r="S34" s="1196" t="s">
        <v>1295</v>
      </c>
      <c r="T34" s="992" t="s">
        <v>313</v>
      </c>
      <c r="U34" s="989" t="s">
        <v>4</v>
      </c>
      <c r="V34" s="990">
        <v>49218</v>
      </c>
      <c r="W34" s="990">
        <v>13077</v>
      </c>
      <c r="X34" s="990">
        <v>13633</v>
      </c>
      <c r="Y34" s="990">
        <v>6539</v>
      </c>
      <c r="Z34" s="990">
        <v>0</v>
      </c>
      <c r="AA34" s="990">
        <v>0</v>
      </c>
      <c r="AB34" s="990">
        <v>900</v>
      </c>
      <c r="AC34" s="990">
        <v>2654</v>
      </c>
      <c r="AD34" s="990">
        <v>79482</v>
      </c>
      <c r="AE34" s="798">
        <v>5231</v>
      </c>
    </row>
    <row r="35" spans="1:31" ht="19.5" customHeight="1">
      <c r="A35" s="1198"/>
      <c r="B35" s="992" t="s">
        <v>313</v>
      </c>
      <c r="C35" s="989" t="s">
        <v>1372</v>
      </c>
      <c r="D35" s="990">
        <v>289</v>
      </c>
      <c r="E35" s="990">
        <v>5137</v>
      </c>
      <c r="F35" s="990"/>
      <c r="G35" s="990">
        <v>1765</v>
      </c>
      <c r="H35" s="990">
        <v>0</v>
      </c>
      <c r="I35" s="990">
        <v>0</v>
      </c>
      <c r="J35" s="990">
        <v>900</v>
      </c>
      <c r="K35" s="990">
        <v>0</v>
      </c>
      <c r="L35" s="990">
        <v>1938</v>
      </c>
      <c r="M35" s="990">
        <v>0</v>
      </c>
      <c r="N35" s="990">
        <v>-223</v>
      </c>
      <c r="O35" s="990">
        <v>0</v>
      </c>
      <c r="P35" s="990">
        <v>71660</v>
      </c>
      <c r="Q35" s="990">
        <v>9806</v>
      </c>
      <c r="R35" s="991">
        <v>81466</v>
      </c>
      <c r="S35" s="1196"/>
      <c r="T35" s="992" t="s">
        <v>313</v>
      </c>
      <c r="U35" s="989" t="s">
        <v>1372</v>
      </c>
      <c r="V35" s="990">
        <v>50705</v>
      </c>
      <c r="W35" s="990">
        <v>13474</v>
      </c>
      <c r="X35" s="990">
        <v>13733</v>
      </c>
      <c r="Y35" s="990">
        <v>6539</v>
      </c>
      <c r="Z35" s="990">
        <v>0</v>
      </c>
      <c r="AA35" s="990">
        <v>0</v>
      </c>
      <c r="AB35" s="990">
        <v>900</v>
      </c>
      <c r="AC35" s="990">
        <v>2654</v>
      </c>
      <c r="AD35" s="990">
        <v>81466</v>
      </c>
      <c r="AE35" s="798"/>
    </row>
    <row r="36" spans="1:31" ht="19.5" customHeight="1">
      <c r="A36" s="1198"/>
      <c r="B36" s="992" t="s">
        <v>313</v>
      </c>
      <c r="C36" s="989" t="s">
        <v>1373</v>
      </c>
      <c r="D36" s="990">
        <v>289</v>
      </c>
      <c r="E36" s="990">
        <v>5137</v>
      </c>
      <c r="F36" s="990"/>
      <c r="G36" s="990">
        <v>1765</v>
      </c>
      <c r="H36" s="990">
        <v>0</v>
      </c>
      <c r="I36" s="990">
        <v>0</v>
      </c>
      <c r="J36" s="990">
        <v>900</v>
      </c>
      <c r="K36" s="990">
        <v>0</v>
      </c>
      <c r="L36" s="990">
        <v>1715</v>
      </c>
      <c r="M36" s="990">
        <v>0</v>
      </c>
      <c r="N36" s="990">
        <v>0</v>
      </c>
      <c r="O36" s="990">
        <v>0</v>
      </c>
      <c r="P36" s="990">
        <v>71936</v>
      </c>
      <c r="Q36" s="990">
        <v>9806</v>
      </c>
      <c r="R36" s="991">
        <v>81742</v>
      </c>
      <c r="S36" s="1196"/>
      <c r="T36" s="992" t="s">
        <v>313</v>
      </c>
      <c r="U36" s="989" t="s">
        <v>1373</v>
      </c>
      <c r="V36" s="990">
        <v>50922</v>
      </c>
      <c r="W36" s="990">
        <v>13533</v>
      </c>
      <c r="X36" s="990">
        <v>13515</v>
      </c>
      <c r="Y36" s="990">
        <v>6539</v>
      </c>
      <c r="Z36" s="990">
        <v>0</v>
      </c>
      <c r="AA36" s="990">
        <v>0</v>
      </c>
      <c r="AB36" s="990">
        <v>1000</v>
      </c>
      <c r="AC36" s="990">
        <v>2772</v>
      </c>
      <c r="AD36" s="990">
        <v>81742</v>
      </c>
      <c r="AE36" s="798"/>
    </row>
    <row r="37" spans="1:31" ht="19.5" customHeight="1">
      <c r="A37" s="1198"/>
      <c r="B37" s="992" t="s">
        <v>313</v>
      </c>
      <c r="C37" s="989" t="s">
        <v>1374</v>
      </c>
      <c r="D37" s="990">
        <v>289</v>
      </c>
      <c r="E37" s="990">
        <v>5137</v>
      </c>
      <c r="F37" s="990"/>
      <c r="G37" s="990">
        <v>2206</v>
      </c>
      <c r="H37" s="990">
        <v>0</v>
      </c>
      <c r="I37" s="990">
        <v>0</v>
      </c>
      <c r="J37" s="990">
        <v>900</v>
      </c>
      <c r="K37" s="990">
        <v>0</v>
      </c>
      <c r="L37" s="990">
        <v>1715</v>
      </c>
      <c r="M37" s="990">
        <v>0</v>
      </c>
      <c r="N37" s="990">
        <v>0</v>
      </c>
      <c r="O37" s="990">
        <v>0</v>
      </c>
      <c r="P37" s="990">
        <v>72648</v>
      </c>
      <c r="Q37" s="990">
        <v>10247</v>
      </c>
      <c r="R37" s="991">
        <v>82895</v>
      </c>
      <c r="S37" s="1196"/>
      <c r="T37" s="992" t="s">
        <v>313</v>
      </c>
      <c r="U37" s="989" t="s">
        <v>1374</v>
      </c>
      <c r="V37" s="990">
        <v>51422</v>
      </c>
      <c r="W37" s="990">
        <v>13673</v>
      </c>
      <c r="X37" s="990">
        <v>13978</v>
      </c>
      <c r="Y37" s="990">
        <v>6539</v>
      </c>
      <c r="Z37" s="990">
        <v>0</v>
      </c>
      <c r="AA37" s="990">
        <v>0</v>
      </c>
      <c r="AB37" s="990">
        <v>1050</v>
      </c>
      <c r="AC37" s="990">
        <v>2772</v>
      </c>
      <c r="AD37" s="990">
        <v>82895</v>
      </c>
      <c r="AE37" s="798"/>
    </row>
    <row r="38" spans="1:31" ht="19.5" customHeight="1">
      <c r="A38" s="1198"/>
      <c r="B38" s="992" t="s">
        <v>313</v>
      </c>
      <c r="C38" s="989" t="s">
        <v>1375</v>
      </c>
      <c r="D38" s="990">
        <v>289</v>
      </c>
      <c r="E38" s="990">
        <v>3837</v>
      </c>
      <c r="F38" s="990"/>
      <c r="G38" s="990">
        <v>1606</v>
      </c>
      <c r="H38" s="990">
        <v>0</v>
      </c>
      <c r="I38" s="990">
        <v>0</v>
      </c>
      <c r="J38" s="990">
        <v>900</v>
      </c>
      <c r="K38" s="990">
        <v>0</v>
      </c>
      <c r="L38" s="990">
        <v>1715</v>
      </c>
      <c r="M38" s="990">
        <v>0</v>
      </c>
      <c r="N38" s="990">
        <v>0</v>
      </c>
      <c r="O38" s="990">
        <v>0</v>
      </c>
      <c r="P38" s="990">
        <v>76089</v>
      </c>
      <c r="Q38" s="990">
        <v>8347</v>
      </c>
      <c r="R38" s="991">
        <v>84436</v>
      </c>
      <c r="S38" s="1196"/>
      <c r="T38" s="992" t="s">
        <v>313</v>
      </c>
      <c r="U38" s="989" t="s">
        <v>1375</v>
      </c>
      <c r="V38" s="990">
        <v>50757</v>
      </c>
      <c r="W38" s="990">
        <v>13732</v>
      </c>
      <c r="X38" s="990">
        <v>16125</v>
      </c>
      <c r="Y38" s="990">
        <v>6539</v>
      </c>
      <c r="Z38" s="990">
        <v>0</v>
      </c>
      <c r="AA38" s="990">
        <v>0</v>
      </c>
      <c r="AB38" s="990">
        <v>1050</v>
      </c>
      <c r="AC38" s="990">
        <v>2772</v>
      </c>
      <c r="AD38" s="990">
        <v>84436</v>
      </c>
      <c r="AE38" s="798"/>
    </row>
    <row r="39" spans="1:31" ht="19.5" customHeight="1">
      <c r="A39" s="1198"/>
      <c r="B39" s="992" t="s">
        <v>1032</v>
      </c>
      <c r="C39" s="989"/>
      <c r="D39" s="990">
        <v>120</v>
      </c>
      <c r="E39" s="1089">
        <v>3825</v>
      </c>
      <c r="F39" s="990"/>
      <c r="G39" s="990">
        <v>1327</v>
      </c>
      <c r="H39" s="990"/>
      <c r="I39" s="990"/>
      <c r="J39" s="990">
        <v>298</v>
      </c>
      <c r="K39" s="990"/>
      <c r="L39" s="990">
        <v>1715</v>
      </c>
      <c r="M39" s="990"/>
      <c r="N39" s="990"/>
      <c r="O39" s="990"/>
      <c r="P39" s="990">
        <v>76089</v>
      </c>
      <c r="Q39" s="990">
        <v>7285</v>
      </c>
      <c r="R39" s="991">
        <v>83374</v>
      </c>
      <c r="S39" s="1196"/>
      <c r="T39" s="992" t="s">
        <v>1032</v>
      </c>
      <c r="U39" s="989"/>
      <c r="V39" s="990">
        <v>50432</v>
      </c>
      <c r="W39" s="990">
        <v>13712</v>
      </c>
      <c r="X39" s="990">
        <v>12797</v>
      </c>
      <c r="Y39" s="990">
        <v>6178</v>
      </c>
      <c r="Z39" s="990"/>
      <c r="AA39" s="990"/>
      <c r="AB39" s="990">
        <v>999</v>
      </c>
      <c r="AC39" s="990">
        <v>2739</v>
      </c>
      <c r="AD39" s="990">
        <v>80679</v>
      </c>
      <c r="AE39" s="798"/>
    </row>
    <row r="40" spans="1:31" ht="19.5" customHeight="1">
      <c r="A40" s="1198" t="s">
        <v>1296</v>
      </c>
      <c r="B40" s="992" t="s">
        <v>313</v>
      </c>
      <c r="C40" s="989" t="s">
        <v>4</v>
      </c>
      <c r="D40" s="990">
        <v>163</v>
      </c>
      <c r="E40" s="990">
        <v>1340</v>
      </c>
      <c r="F40" s="990"/>
      <c r="G40" s="990">
        <v>406</v>
      </c>
      <c r="H40" s="990">
        <v>0</v>
      </c>
      <c r="I40" s="990">
        <v>0</v>
      </c>
      <c r="J40" s="990">
        <v>0</v>
      </c>
      <c r="K40" s="990">
        <v>0</v>
      </c>
      <c r="L40" s="990"/>
      <c r="M40" s="990">
        <v>0</v>
      </c>
      <c r="N40" s="990">
        <v>0</v>
      </c>
      <c r="O40" s="990">
        <v>0</v>
      </c>
      <c r="P40" s="990">
        <v>29010</v>
      </c>
      <c r="Q40" s="990">
        <v>1909</v>
      </c>
      <c r="R40" s="991">
        <v>30919</v>
      </c>
      <c r="S40" s="1196" t="s">
        <v>1296</v>
      </c>
      <c r="T40" s="992" t="s">
        <v>313</v>
      </c>
      <c r="U40" s="989" t="s">
        <v>4</v>
      </c>
      <c r="V40" s="990">
        <v>18672</v>
      </c>
      <c r="W40" s="990">
        <v>4952</v>
      </c>
      <c r="X40" s="990">
        <v>7295</v>
      </c>
      <c r="Y40" s="990">
        <v>3152</v>
      </c>
      <c r="Z40" s="990">
        <v>0</v>
      </c>
      <c r="AA40" s="990">
        <v>0</v>
      </c>
      <c r="AB40" s="990">
        <v>0</v>
      </c>
      <c r="AC40" s="990">
        <v>0</v>
      </c>
      <c r="AD40" s="990">
        <v>30919</v>
      </c>
      <c r="AE40" s="798"/>
    </row>
    <row r="41" spans="1:31" ht="19.5" customHeight="1">
      <c r="A41" s="1198"/>
      <c r="B41" s="992" t="s">
        <v>313</v>
      </c>
      <c r="C41" s="989" t="s">
        <v>1372</v>
      </c>
      <c r="D41" s="990">
        <v>163</v>
      </c>
      <c r="E41" s="990">
        <v>1340</v>
      </c>
      <c r="F41" s="990"/>
      <c r="G41" s="990">
        <v>406</v>
      </c>
      <c r="H41" s="990">
        <v>0</v>
      </c>
      <c r="I41" s="990">
        <v>0</v>
      </c>
      <c r="J41" s="990">
        <v>0</v>
      </c>
      <c r="K41" s="990">
        <v>0</v>
      </c>
      <c r="L41" s="990"/>
      <c r="M41" s="990">
        <v>0</v>
      </c>
      <c r="N41" s="990">
        <v>0</v>
      </c>
      <c r="O41" s="990">
        <v>0</v>
      </c>
      <c r="P41" s="990">
        <v>29133</v>
      </c>
      <c r="Q41" s="990">
        <v>1909</v>
      </c>
      <c r="R41" s="991">
        <v>31042</v>
      </c>
      <c r="S41" s="1196"/>
      <c r="T41" s="992" t="s">
        <v>313</v>
      </c>
      <c r="U41" s="989" t="s">
        <v>1372</v>
      </c>
      <c r="V41" s="990">
        <v>18690</v>
      </c>
      <c r="W41" s="990">
        <v>4957</v>
      </c>
      <c r="X41" s="990">
        <v>7395</v>
      </c>
      <c r="Y41" s="990">
        <v>3152</v>
      </c>
      <c r="Z41" s="990">
        <v>0</v>
      </c>
      <c r="AA41" s="990">
        <v>0</v>
      </c>
      <c r="AB41" s="990">
        <v>0</v>
      </c>
      <c r="AC41" s="990">
        <v>0</v>
      </c>
      <c r="AD41" s="990">
        <v>31042</v>
      </c>
      <c r="AE41" s="798"/>
    </row>
    <row r="42" spans="1:31" ht="19.5" customHeight="1">
      <c r="A42" s="1198"/>
      <c r="B42" s="992" t="s">
        <v>313</v>
      </c>
      <c r="C42" s="989" t="s">
        <v>1373</v>
      </c>
      <c r="D42" s="990">
        <v>163</v>
      </c>
      <c r="E42" s="990">
        <v>1340</v>
      </c>
      <c r="F42" s="990"/>
      <c r="G42" s="990">
        <v>406</v>
      </c>
      <c r="H42" s="990">
        <v>0</v>
      </c>
      <c r="I42" s="990">
        <v>0</v>
      </c>
      <c r="J42" s="990">
        <v>0</v>
      </c>
      <c r="K42" s="990">
        <v>0</v>
      </c>
      <c r="L42" s="990"/>
      <c r="M42" s="990">
        <v>0</v>
      </c>
      <c r="N42" s="990">
        <v>0</v>
      </c>
      <c r="O42" s="990">
        <v>0</v>
      </c>
      <c r="P42" s="990">
        <v>29133</v>
      </c>
      <c r="Q42" s="990">
        <v>1909</v>
      </c>
      <c r="R42" s="991">
        <v>31042</v>
      </c>
      <c r="S42" s="1196"/>
      <c r="T42" s="992" t="s">
        <v>313</v>
      </c>
      <c r="U42" s="989" t="s">
        <v>1373</v>
      </c>
      <c r="V42" s="990">
        <v>18690</v>
      </c>
      <c r="W42" s="990">
        <v>4957</v>
      </c>
      <c r="X42" s="990">
        <v>7395</v>
      </c>
      <c r="Y42" s="990">
        <v>3152</v>
      </c>
      <c r="Z42" s="990">
        <v>0</v>
      </c>
      <c r="AA42" s="990">
        <v>0</v>
      </c>
      <c r="AB42" s="990">
        <v>0</v>
      </c>
      <c r="AC42" s="990">
        <v>0</v>
      </c>
      <c r="AD42" s="990">
        <v>31042</v>
      </c>
      <c r="AE42" s="798"/>
    </row>
    <row r="43" spans="1:31" ht="19.5" customHeight="1">
      <c r="A43" s="1198"/>
      <c r="B43" s="992" t="s">
        <v>313</v>
      </c>
      <c r="C43" s="989" t="s">
        <v>1374</v>
      </c>
      <c r="D43" s="990">
        <v>163</v>
      </c>
      <c r="E43" s="990">
        <v>1340</v>
      </c>
      <c r="F43" s="990"/>
      <c r="G43" s="990">
        <v>406</v>
      </c>
      <c r="H43" s="990">
        <v>0</v>
      </c>
      <c r="I43" s="990">
        <v>0</v>
      </c>
      <c r="J43" s="990">
        <v>0</v>
      </c>
      <c r="K43" s="990">
        <v>0</v>
      </c>
      <c r="L43" s="990"/>
      <c r="M43" s="990">
        <v>0</v>
      </c>
      <c r="N43" s="990">
        <v>0</v>
      </c>
      <c r="O43" s="990">
        <v>0</v>
      </c>
      <c r="P43" s="990">
        <v>29133</v>
      </c>
      <c r="Q43" s="990">
        <v>1909</v>
      </c>
      <c r="R43" s="991">
        <v>31042</v>
      </c>
      <c r="S43" s="1196"/>
      <c r="T43" s="992" t="s">
        <v>313</v>
      </c>
      <c r="U43" s="989" t="s">
        <v>1374</v>
      </c>
      <c r="V43" s="990">
        <v>18690</v>
      </c>
      <c r="W43" s="990">
        <v>4957</v>
      </c>
      <c r="X43" s="990">
        <v>7395</v>
      </c>
      <c r="Y43" s="990">
        <v>3152</v>
      </c>
      <c r="Z43" s="990">
        <v>0</v>
      </c>
      <c r="AA43" s="990">
        <v>0</v>
      </c>
      <c r="AB43" s="990">
        <v>0</v>
      </c>
      <c r="AC43" s="990">
        <v>0</v>
      </c>
      <c r="AD43" s="990">
        <v>31042</v>
      </c>
      <c r="AE43" s="798"/>
    </row>
    <row r="44" spans="1:31" ht="19.5" customHeight="1">
      <c r="A44" s="1198"/>
      <c r="B44" s="992" t="s">
        <v>313</v>
      </c>
      <c r="C44" s="989" t="s">
        <v>1375</v>
      </c>
      <c r="D44" s="990">
        <v>163</v>
      </c>
      <c r="E44" s="990">
        <v>840</v>
      </c>
      <c r="F44" s="990"/>
      <c r="G44" s="990">
        <v>406</v>
      </c>
      <c r="H44" s="990">
        <v>0</v>
      </c>
      <c r="I44" s="990">
        <v>0</v>
      </c>
      <c r="J44" s="990">
        <v>0</v>
      </c>
      <c r="K44" s="990">
        <v>0</v>
      </c>
      <c r="L44" s="990"/>
      <c r="M44" s="990">
        <v>0</v>
      </c>
      <c r="N44" s="990">
        <v>0</v>
      </c>
      <c r="O44" s="990">
        <v>0</v>
      </c>
      <c r="P44" s="990">
        <v>30796</v>
      </c>
      <c r="Q44" s="990">
        <v>1409</v>
      </c>
      <c r="R44" s="991">
        <v>32205</v>
      </c>
      <c r="S44" s="1196"/>
      <c r="T44" s="992" t="s">
        <v>313</v>
      </c>
      <c r="U44" s="989" t="s">
        <v>1375</v>
      </c>
      <c r="V44" s="990">
        <v>19215</v>
      </c>
      <c r="W44" s="990">
        <v>5119</v>
      </c>
      <c r="X44" s="990">
        <v>7580</v>
      </c>
      <c r="Y44" s="990">
        <v>3152</v>
      </c>
      <c r="Z44" s="990">
        <v>0</v>
      </c>
      <c r="AA44" s="990">
        <v>0</v>
      </c>
      <c r="AB44" s="990">
        <v>291</v>
      </c>
      <c r="AC44" s="990">
        <v>0</v>
      </c>
      <c r="AD44" s="990">
        <v>32205</v>
      </c>
      <c r="AE44" s="798"/>
    </row>
    <row r="45" spans="1:31" ht="19.5" customHeight="1">
      <c r="A45" s="1198"/>
      <c r="B45" s="992" t="s">
        <v>1032</v>
      </c>
      <c r="C45" s="989"/>
      <c r="D45" s="990">
        <v>83</v>
      </c>
      <c r="E45" s="1089">
        <v>751</v>
      </c>
      <c r="F45" s="990"/>
      <c r="G45" s="990">
        <v>406</v>
      </c>
      <c r="H45" s="990"/>
      <c r="I45" s="990"/>
      <c r="J45" s="990"/>
      <c r="K45" s="990"/>
      <c r="L45" s="990"/>
      <c r="M45" s="990"/>
      <c r="N45" s="990"/>
      <c r="O45" s="990"/>
      <c r="P45" s="990">
        <v>30796</v>
      </c>
      <c r="Q45" s="990">
        <v>1240</v>
      </c>
      <c r="R45" s="991">
        <v>32036</v>
      </c>
      <c r="S45" s="1196"/>
      <c r="T45" s="992" t="s">
        <v>1032</v>
      </c>
      <c r="U45" s="989"/>
      <c r="V45" s="990">
        <v>19210</v>
      </c>
      <c r="W45" s="990">
        <v>5119</v>
      </c>
      <c r="X45" s="990">
        <v>6183</v>
      </c>
      <c r="Y45" s="990">
        <v>3034</v>
      </c>
      <c r="Z45" s="990"/>
      <c r="AA45" s="990"/>
      <c r="AB45" s="990">
        <v>291</v>
      </c>
      <c r="AC45" s="990"/>
      <c r="AD45" s="990">
        <v>30803</v>
      </c>
      <c r="AE45" s="798"/>
    </row>
    <row r="46" spans="1:31" ht="19.5" customHeight="1">
      <c r="A46" s="1198" t="s">
        <v>1376</v>
      </c>
      <c r="B46" s="992" t="s">
        <v>313</v>
      </c>
      <c r="C46" s="989" t="s">
        <v>4</v>
      </c>
      <c r="D46" s="990">
        <v>11553</v>
      </c>
      <c r="E46" s="990">
        <v>11112</v>
      </c>
      <c r="F46" s="990"/>
      <c r="G46" s="990">
        <v>4430</v>
      </c>
      <c r="H46" s="990">
        <v>0</v>
      </c>
      <c r="I46" s="990">
        <v>0</v>
      </c>
      <c r="J46" s="990">
        <v>0</v>
      </c>
      <c r="K46" s="990">
        <v>0</v>
      </c>
      <c r="L46" s="990"/>
      <c r="M46" s="990">
        <v>0</v>
      </c>
      <c r="N46" s="990">
        <v>0</v>
      </c>
      <c r="O46" s="990">
        <v>0</v>
      </c>
      <c r="P46" s="990">
        <v>85285</v>
      </c>
      <c r="Q46" s="990">
        <v>27095</v>
      </c>
      <c r="R46" s="991">
        <v>112380</v>
      </c>
      <c r="S46" s="1198" t="s">
        <v>1376</v>
      </c>
      <c r="T46" s="992" t="s">
        <v>313</v>
      </c>
      <c r="U46" s="989" t="s">
        <v>4</v>
      </c>
      <c r="V46" s="990">
        <v>56910</v>
      </c>
      <c r="W46" s="990">
        <v>14642</v>
      </c>
      <c r="X46" s="990">
        <v>32695</v>
      </c>
      <c r="Y46" s="990">
        <v>5404</v>
      </c>
      <c r="Z46" s="990">
        <v>0</v>
      </c>
      <c r="AA46" s="990">
        <v>0</v>
      </c>
      <c r="AB46" s="990">
        <v>1293</v>
      </c>
      <c r="AC46" s="990">
        <v>6840</v>
      </c>
      <c r="AD46" s="990">
        <v>112380</v>
      </c>
      <c r="AE46" s="798">
        <v>45275</v>
      </c>
    </row>
    <row r="47" spans="1:31" ht="19.5" customHeight="1">
      <c r="A47" s="1198"/>
      <c r="B47" s="992" t="s">
        <v>313</v>
      </c>
      <c r="C47" s="989" t="s">
        <v>1372</v>
      </c>
      <c r="D47" s="990">
        <v>11553</v>
      </c>
      <c r="E47" s="990">
        <v>11112</v>
      </c>
      <c r="F47" s="990"/>
      <c r="G47" s="990">
        <v>4430</v>
      </c>
      <c r="H47" s="990">
        <v>651</v>
      </c>
      <c r="I47" s="990">
        <v>0</v>
      </c>
      <c r="J47" s="990">
        <v>0</v>
      </c>
      <c r="K47" s="990">
        <v>0</v>
      </c>
      <c r="L47" s="990"/>
      <c r="M47" s="990">
        <v>0</v>
      </c>
      <c r="N47" s="990">
        <v>313</v>
      </c>
      <c r="O47" s="990">
        <v>0</v>
      </c>
      <c r="P47" s="990">
        <v>88488</v>
      </c>
      <c r="Q47" s="990">
        <v>28059</v>
      </c>
      <c r="R47" s="991">
        <v>116547</v>
      </c>
      <c r="S47" s="1198"/>
      <c r="T47" s="992" t="s">
        <v>313</v>
      </c>
      <c r="U47" s="989" t="s">
        <v>1372</v>
      </c>
      <c r="V47" s="990">
        <v>59708</v>
      </c>
      <c r="W47" s="990">
        <v>15360</v>
      </c>
      <c r="X47" s="990">
        <v>32695</v>
      </c>
      <c r="Y47" s="990">
        <v>5404</v>
      </c>
      <c r="Z47" s="990">
        <v>0</v>
      </c>
      <c r="AA47" s="990">
        <v>0</v>
      </c>
      <c r="AB47" s="990">
        <v>2744</v>
      </c>
      <c r="AC47" s="990">
        <v>6040</v>
      </c>
      <c r="AD47" s="990">
        <v>116547</v>
      </c>
      <c r="AE47" s="798"/>
    </row>
    <row r="48" spans="1:31" ht="19.5" customHeight="1">
      <c r="A48" s="1198"/>
      <c r="B48" s="992" t="s">
        <v>313</v>
      </c>
      <c r="C48" s="989" t="s">
        <v>1373</v>
      </c>
      <c r="D48" s="990">
        <v>11553</v>
      </c>
      <c r="E48" s="990">
        <v>11112</v>
      </c>
      <c r="F48" s="990"/>
      <c r="G48" s="990">
        <v>4430</v>
      </c>
      <c r="H48" s="990">
        <v>651</v>
      </c>
      <c r="I48" s="990">
        <v>0</v>
      </c>
      <c r="J48" s="990">
        <v>0</v>
      </c>
      <c r="K48" s="990">
        <v>0</v>
      </c>
      <c r="L48" s="990"/>
      <c r="M48" s="990">
        <v>0</v>
      </c>
      <c r="N48" s="990">
        <v>313</v>
      </c>
      <c r="O48" s="990">
        <v>0</v>
      </c>
      <c r="P48" s="990">
        <v>93348</v>
      </c>
      <c r="Q48" s="990">
        <v>28059</v>
      </c>
      <c r="R48" s="991">
        <v>121407</v>
      </c>
      <c r="S48" s="1198"/>
      <c r="T48" s="992" t="s">
        <v>313</v>
      </c>
      <c r="U48" s="989" t="s">
        <v>1373</v>
      </c>
      <c r="V48" s="990">
        <v>66091</v>
      </c>
      <c r="W48" s="990">
        <v>17083</v>
      </c>
      <c r="X48" s="990">
        <v>33949</v>
      </c>
      <c r="Y48" s="990">
        <v>5404</v>
      </c>
      <c r="Z48" s="990">
        <v>0</v>
      </c>
      <c r="AA48" s="990">
        <v>0</v>
      </c>
      <c r="AB48" s="990">
        <v>2744</v>
      </c>
      <c r="AC48" s="990">
        <v>1540</v>
      </c>
      <c r="AD48" s="990">
        <v>121407</v>
      </c>
      <c r="AE48" s="800">
        <v>120891</v>
      </c>
    </row>
    <row r="49" spans="1:31" ht="19.5" customHeight="1">
      <c r="A49" s="1198"/>
      <c r="B49" s="992" t="s">
        <v>313</v>
      </c>
      <c r="C49" s="989" t="s">
        <v>1374</v>
      </c>
      <c r="D49" s="990">
        <v>11553</v>
      </c>
      <c r="E49" s="990">
        <v>11112</v>
      </c>
      <c r="F49" s="990"/>
      <c r="G49" s="990">
        <v>4430</v>
      </c>
      <c r="H49" s="990">
        <v>651</v>
      </c>
      <c r="I49" s="990">
        <v>0</v>
      </c>
      <c r="J49" s="990">
        <v>0</v>
      </c>
      <c r="K49" s="990">
        <v>0</v>
      </c>
      <c r="L49" s="990"/>
      <c r="M49" s="990">
        <v>0</v>
      </c>
      <c r="N49" s="990">
        <v>313</v>
      </c>
      <c r="O49" s="990">
        <v>0</v>
      </c>
      <c r="P49" s="990">
        <v>95995</v>
      </c>
      <c r="Q49" s="990">
        <v>28059</v>
      </c>
      <c r="R49" s="991">
        <v>124054</v>
      </c>
      <c r="S49" s="1198"/>
      <c r="T49" s="992" t="s">
        <v>313</v>
      </c>
      <c r="U49" s="989" t="s">
        <v>1374</v>
      </c>
      <c r="V49" s="990">
        <v>66815</v>
      </c>
      <c r="W49" s="990">
        <v>18306</v>
      </c>
      <c r="X49" s="990">
        <v>35799</v>
      </c>
      <c r="Y49" s="990">
        <v>5404</v>
      </c>
      <c r="Z49" s="990">
        <v>0</v>
      </c>
      <c r="AA49" s="990">
        <v>0</v>
      </c>
      <c r="AB49" s="990">
        <v>2494</v>
      </c>
      <c r="AC49" s="990">
        <v>640</v>
      </c>
      <c r="AD49" s="990">
        <v>124054</v>
      </c>
      <c r="AE49" s="800"/>
    </row>
    <row r="50" spans="1:31" ht="19.5" customHeight="1">
      <c r="A50" s="1198"/>
      <c r="B50" s="992" t="s">
        <v>313</v>
      </c>
      <c r="C50" s="989" t="s">
        <v>1375</v>
      </c>
      <c r="D50" s="990">
        <v>11153</v>
      </c>
      <c r="E50" s="990">
        <v>12452</v>
      </c>
      <c r="F50" s="990"/>
      <c r="G50" s="990">
        <v>4030</v>
      </c>
      <c r="H50" s="990">
        <v>651</v>
      </c>
      <c r="I50" s="990">
        <v>0</v>
      </c>
      <c r="J50" s="990">
        <v>0</v>
      </c>
      <c r="K50" s="990">
        <v>0</v>
      </c>
      <c r="L50" s="990"/>
      <c r="M50" s="990">
        <v>0</v>
      </c>
      <c r="N50" s="990">
        <v>313</v>
      </c>
      <c r="O50" s="990">
        <v>0</v>
      </c>
      <c r="P50" s="990">
        <v>96488</v>
      </c>
      <c r="Q50" s="990">
        <v>28599</v>
      </c>
      <c r="R50" s="991">
        <v>125087</v>
      </c>
      <c r="S50" s="1198"/>
      <c r="T50" s="992" t="s">
        <v>313</v>
      </c>
      <c r="U50" s="989" t="s">
        <v>1375</v>
      </c>
      <c r="V50" s="990">
        <v>67001</v>
      </c>
      <c r="W50" s="990">
        <v>18356</v>
      </c>
      <c r="X50" s="990">
        <v>35656</v>
      </c>
      <c r="Y50" s="990">
        <v>5404</v>
      </c>
      <c r="Z50" s="990">
        <v>0</v>
      </c>
      <c r="AA50" s="990">
        <v>0</v>
      </c>
      <c r="AB50" s="990">
        <v>3434</v>
      </c>
      <c r="AC50" s="990">
        <v>640</v>
      </c>
      <c r="AD50" s="990">
        <v>125087</v>
      </c>
      <c r="AE50" s="798">
        <v>1394788</v>
      </c>
    </row>
    <row r="51" spans="1:31" ht="19.5" customHeight="1">
      <c r="A51" s="1198"/>
      <c r="B51" s="992" t="s">
        <v>1032</v>
      </c>
      <c r="C51" s="989"/>
      <c r="D51" s="990">
        <v>11150</v>
      </c>
      <c r="E51" s="990">
        <v>12448</v>
      </c>
      <c r="F51" s="990"/>
      <c r="G51" s="990">
        <v>3983</v>
      </c>
      <c r="H51" s="990">
        <v>651</v>
      </c>
      <c r="I51" s="990"/>
      <c r="J51" s="990"/>
      <c r="K51" s="990"/>
      <c r="L51" s="990"/>
      <c r="M51" s="990"/>
      <c r="N51" s="990">
        <v>313</v>
      </c>
      <c r="O51" s="990"/>
      <c r="P51" s="990">
        <v>96488</v>
      </c>
      <c r="Q51" s="990">
        <v>28545</v>
      </c>
      <c r="R51" s="991">
        <v>125033</v>
      </c>
      <c r="S51" s="1198"/>
      <c r="T51" s="992" t="s">
        <v>1032</v>
      </c>
      <c r="U51" s="989"/>
      <c r="V51" s="990">
        <v>64680</v>
      </c>
      <c r="W51" s="990">
        <v>18234</v>
      </c>
      <c r="X51" s="990">
        <v>33013</v>
      </c>
      <c r="Y51" s="990">
        <v>16393</v>
      </c>
      <c r="Z51" s="990"/>
      <c r="AA51" s="990"/>
      <c r="AB51" s="990">
        <v>3121</v>
      </c>
      <c r="AC51" s="990">
        <v>639</v>
      </c>
      <c r="AD51" s="990">
        <v>119687</v>
      </c>
      <c r="AE51" s="795"/>
    </row>
    <row r="52" spans="1:31" ht="19.5" customHeight="1">
      <c r="A52" s="1198" t="s">
        <v>1297</v>
      </c>
      <c r="B52" s="992" t="s">
        <v>313</v>
      </c>
      <c r="C52" s="989" t="s">
        <v>4</v>
      </c>
      <c r="D52" s="990">
        <v>3400</v>
      </c>
      <c r="E52" s="990">
        <v>15542</v>
      </c>
      <c r="F52" s="990"/>
      <c r="G52" s="990">
        <v>5114</v>
      </c>
      <c r="H52" s="990">
        <v>0</v>
      </c>
      <c r="I52" s="990">
        <v>0</v>
      </c>
      <c r="J52" s="990">
        <v>0</v>
      </c>
      <c r="K52" s="990">
        <v>0</v>
      </c>
      <c r="L52" s="990"/>
      <c r="M52" s="990">
        <v>0</v>
      </c>
      <c r="N52" s="990">
        <v>0</v>
      </c>
      <c r="O52" s="990">
        <v>0</v>
      </c>
      <c r="P52" s="990">
        <v>70588</v>
      </c>
      <c r="Q52" s="990">
        <v>24056</v>
      </c>
      <c r="R52" s="991">
        <v>94644</v>
      </c>
      <c r="S52" s="1196" t="s">
        <v>1297</v>
      </c>
      <c r="T52" s="992" t="s">
        <v>313</v>
      </c>
      <c r="U52" s="989" t="s">
        <v>4</v>
      </c>
      <c r="V52" s="990">
        <v>0</v>
      </c>
      <c r="W52" s="990">
        <v>0</v>
      </c>
      <c r="X52" s="990">
        <v>91944</v>
      </c>
      <c r="Y52" s="990">
        <v>50705</v>
      </c>
      <c r="Z52" s="990">
        <v>0</v>
      </c>
      <c r="AA52" s="990">
        <v>0</v>
      </c>
      <c r="AB52" s="990">
        <v>0</v>
      </c>
      <c r="AC52" s="990">
        <v>2700</v>
      </c>
      <c r="AD52" s="990">
        <v>94644</v>
      </c>
      <c r="AE52" s="795"/>
    </row>
    <row r="53" spans="1:31" ht="19.5" customHeight="1">
      <c r="A53" s="1198"/>
      <c r="B53" s="992" t="s">
        <v>313</v>
      </c>
      <c r="C53" s="989" t="s">
        <v>1372</v>
      </c>
      <c r="D53" s="990">
        <v>3400</v>
      </c>
      <c r="E53" s="990">
        <v>15542</v>
      </c>
      <c r="F53" s="990"/>
      <c r="G53" s="990">
        <v>5114</v>
      </c>
      <c r="H53" s="990">
        <v>0</v>
      </c>
      <c r="I53" s="990">
        <v>0</v>
      </c>
      <c r="J53" s="990">
        <v>0</v>
      </c>
      <c r="K53" s="990">
        <v>0</v>
      </c>
      <c r="L53" s="990"/>
      <c r="M53" s="990">
        <v>0</v>
      </c>
      <c r="N53" s="990">
        <v>0</v>
      </c>
      <c r="O53" s="990">
        <v>0</v>
      </c>
      <c r="P53" s="990">
        <v>70588</v>
      </c>
      <c r="Q53" s="990">
        <v>24056</v>
      </c>
      <c r="R53" s="991">
        <v>94644</v>
      </c>
      <c r="S53" s="1196"/>
      <c r="T53" s="992" t="s">
        <v>313</v>
      </c>
      <c r="U53" s="989" t="s">
        <v>1372</v>
      </c>
      <c r="V53" s="990">
        <v>0</v>
      </c>
      <c r="W53" s="990">
        <v>0</v>
      </c>
      <c r="X53" s="990">
        <v>91490</v>
      </c>
      <c r="Y53" s="990">
        <v>50705</v>
      </c>
      <c r="Z53" s="990">
        <v>0</v>
      </c>
      <c r="AA53" s="990">
        <v>0</v>
      </c>
      <c r="AB53" s="990">
        <v>454</v>
      </c>
      <c r="AC53" s="990">
        <v>2700</v>
      </c>
      <c r="AD53" s="990">
        <v>94644</v>
      </c>
      <c r="AE53" s="801">
        <v>0</v>
      </c>
    </row>
    <row r="54" spans="1:31" ht="19.5" customHeight="1">
      <c r="A54" s="1198"/>
      <c r="B54" s="992" t="s">
        <v>313</v>
      </c>
      <c r="C54" s="989" t="s">
        <v>1373</v>
      </c>
      <c r="D54" s="990">
        <v>3400</v>
      </c>
      <c r="E54" s="990">
        <v>15542</v>
      </c>
      <c r="F54" s="990"/>
      <c r="G54" s="990">
        <v>5114</v>
      </c>
      <c r="H54" s="990">
        <v>0</v>
      </c>
      <c r="I54" s="990">
        <v>0</v>
      </c>
      <c r="J54" s="990">
        <v>0</v>
      </c>
      <c r="K54" s="990">
        <v>0</v>
      </c>
      <c r="L54" s="990"/>
      <c r="M54" s="990">
        <v>0</v>
      </c>
      <c r="N54" s="990">
        <v>0</v>
      </c>
      <c r="O54" s="990">
        <v>0</v>
      </c>
      <c r="P54" s="990">
        <v>69828</v>
      </c>
      <c r="Q54" s="990">
        <v>24056</v>
      </c>
      <c r="R54" s="991">
        <v>93884</v>
      </c>
      <c r="S54" s="1196"/>
      <c r="T54" s="992" t="s">
        <v>313</v>
      </c>
      <c r="U54" s="989" t="s">
        <v>1373</v>
      </c>
      <c r="V54" s="990">
        <v>0</v>
      </c>
      <c r="W54" s="990">
        <v>0</v>
      </c>
      <c r="X54" s="990">
        <v>90090</v>
      </c>
      <c r="Y54" s="990">
        <v>50705</v>
      </c>
      <c r="Z54" s="990">
        <v>0</v>
      </c>
      <c r="AA54" s="990">
        <v>0</v>
      </c>
      <c r="AB54" s="990">
        <v>1094</v>
      </c>
      <c r="AC54" s="990">
        <v>2700</v>
      </c>
      <c r="AD54" s="990">
        <v>93884</v>
      </c>
      <c r="AE54" s="795"/>
    </row>
    <row r="55" spans="1:31" ht="19.5" customHeight="1">
      <c r="A55" s="1198"/>
      <c r="B55" s="992" t="s">
        <v>313</v>
      </c>
      <c r="C55" s="989" t="s">
        <v>1374</v>
      </c>
      <c r="D55" s="990">
        <v>3400</v>
      </c>
      <c r="E55" s="990">
        <v>15542</v>
      </c>
      <c r="F55" s="990"/>
      <c r="G55" s="990">
        <v>5114</v>
      </c>
      <c r="H55" s="990">
        <v>0</v>
      </c>
      <c r="I55" s="990">
        <v>0</v>
      </c>
      <c r="J55" s="990">
        <v>0</v>
      </c>
      <c r="K55" s="990">
        <v>0</v>
      </c>
      <c r="L55" s="990"/>
      <c r="M55" s="990">
        <v>0</v>
      </c>
      <c r="N55" s="990">
        <v>0</v>
      </c>
      <c r="O55" s="990">
        <v>0</v>
      </c>
      <c r="P55" s="990">
        <v>70565</v>
      </c>
      <c r="Q55" s="990">
        <v>24056</v>
      </c>
      <c r="R55" s="991">
        <v>94621</v>
      </c>
      <c r="S55" s="1196"/>
      <c r="T55" s="992" t="s">
        <v>313</v>
      </c>
      <c r="U55" s="989" t="s">
        <v>1374</v>
      </c>
      <c r="V55" s="990">
        <v>0</v>
      </c>
      <c r="W55" s="990">
        <v>0</v>
      </c>
      <c r="X55" s="990">
        <v>90767</v>
      </c>
      <c r="Y55" s="990">
        <v>50705</v>
      </c>
      <c r="Z55" s="990">
        <v>0</v>
      </c>
      <c r="AA55" s="990">
        <v>0</v>
      </c>
      <c r="AB55" s="990">
        <v>1629</v>
      </c>
      <c r="AC55" s="990">
        <v>2225</v>
      </c>
      <c r="AD55" s="990">
        <v>94621</v>
      </c>
      <c r="AE55" s="795"/>
    </row>
    <row r="56" spans="1:31" ht="19.5" customHeight="1">
      <c r="A56" s="1198"/>
      <c r="B56" s="992" t="s">
        <v>313</v>
      </c>
      <c r="C56" s="989" t="s">
        <v>1375</v>
      </c>
      <c r="D56" s="990">
        <v>3460</v>
      </c>
      <c r="E56" s="990">
        <v>15482</v>
      </c>
      <c r="F56" s="990"/>
      <c r="G56" s="990">
        <v>4714</v>
      </c>
      <c r="H56" s="990">
        <v>0</v>
      </c>
      <c r="I56" s="990">
        <v>0</v>
      </c>
      <c r="J56" s="990">
        <v>0</v>
      </c>
      <c r="K56" s="990">
        <v>0</v>
      </c>
      <c r="L56" s="990"/>
      <c r="M56" s="990">
        <v>0</v>
      </c>
      <c r="N56" s="990">
        <v>0</v>
      </c>
      <c r="O56" s="990">
        <v>0</v>
      </c>
      <c r="P56" s="990">
        <v>63365</v>
      </c>
      <c r="Q56" s="990">
        <v>23656</v>
      </c>
      <c r="R56" s="991">
        <v>87021</v>
      </c>
      <c r="S56" s="1196"/>
      <c r="T56" s="992" t="s">
        <v>313</v>
      </c>
      <c r="U56" s="989" t="s">
        <v>1375</v>
      </c>
      <c r="V56" s="990">
        <v>0</v>
      </c>
      <c r="W56" s="990">
        <v>0</v>
      </c>
      <c r="X56" s="990">
        <v>85167</v>
      </c>
      <c r="Y56" s="990">
        <v>50705</v>
      </c>
      <c r="Z56" s="990">
        <v>0</v>
      </c>
      <c r="AA56" s="990">
        <v>0</v>
      </c>
      <c r="AB56" s="990">
        <v>1629</v>
      </c>
      <c r="AC56" s="990">
        <v>225</v>
      </c>
      <c r="AD56" s="990">
        <v>87021</v>
      </c>
      <c r="AE56" s="795"/>
    </row>
    <row r="57" spans="1:31" ht="19.5" customHeight="1">
      <c r="A57" s="1198"/>
      <c r="B57" s="992" t="s">
        <v>1032</v>
      </c>
      <c r="C57" s="989"/>
      <c r="D57" s="990">
        <v>3460</v>
      </c>
      <c r="E57" s="990">
        <v>15276</v>
      </c>
      <c r="F57" s="990"/>
      <c r="G57" s="990">
        <v>4705</v>
      </c>
      <c r="H57" s="990"/>
      <c r="I57" s="990"/>
      <c r="J57" s="990"/>
      <c r="K57" s="990"/>
      <c r="L57" s="990"/>
      <c r="M57" s="990"/>
      <c r="N57" s="990"/>
      <c r="O57" s="990"/>
      <c r="P57" s="990">
        <v>63314</v>
      </c>
      <c r="Q57" s="990">
        <v>23441</v>
      </c>
      <c r="R57" s="991">
        <v>86755</v>
      </c>
      <c r="S57" s="1196"/>
      <c r="T57" s="992" t="s">
        <v>1032</v>
      </c>
      <c r="U57" s="989"/>
      <c r="V57" s="990"/>
      <c r="W57" s="990"/>
      <c r="X57" s="990">
        <v>84927</v>
      </c>
      <c r="Y57" s="990">
        <v>46758</v>
      </c>
      <c r="Z57" s="990"/>
      <c r="AA57" s="990"/>
      <c r="AB57" s="990">
        <v>1629</v>
      </c>
      <c r="AC57" s="990">
        <v>199</v>
      </c>
      <c r="AD57" s="990">
        <v>86755</v>
      </c>
      <c r="AE57" s="798">
        <v>0</v>
      </c>
    </row>
    <row r="58" spans="1:30" ht="19.5" customHeight="1">
      <c r="A58" s="1198" t="s">
        <v>1298</v>
      </c>
      <c r="B58" s="992" t="s">
        <v>313</v>
      </c>
      <c r="C58" s="989" t="s">
        <v>4</v>
      </c>
      <c r="D58" s="990">
        <v>0</v>
      </c>
      <c r="E58" s="990">
        <v>0</v>
      </c>
      <c r="F58" s="990"/>
      <c r="G58" s="990">
        <v>0</v>
      </c>
      <c r="H58" s="990">
        <v>0</v>
      </c>
      <c r="I58" s="990">
        <v>0</v>
      </c>
      <c r="J58" s="990">
        <v>0</v>
      </c>
      <c r="K58" s="990">
        <v>0</v>
      </c>
      <c r="L58" s="990"/>
      <c r="M58" s="990">
        <v>0</v>
      </c>
      <c r="N58" s="990">
        <v>0</v>
      </c>
      <c r="O58" s="990">
        <v>0</v>
      </c>
      <c r="P58" s="990">
        <v>1819</v>
      </c>
      <c r="Q58" s="990">
        <v>0</v>
      </c>
      <c r="R58" s="991">
        <v>1819</v>
      </c>
      <c r="S58" s="1196" t="s">
        <v>1298</v>
      </c>
      <c r="T58" s="992" t="s">
        <v>313</v>
      </c>
      <c r="U58" s="989" t="s">
        <v>4</v>
      </c>
      <c r="V58" s="990">
        <v>0</v>
      </c>
      <c r="W58" s="990">
        <v>0</v>
      </c>
      <c r="X58" s="990">
        <v>1819</v>
      </c>
      <c r="Y58" s="990">
        <v>0</v>
      </c>
      <c r="Z58" s="990">
        <v>0</v>
      </c>
      <c r="AA58" s="990">
        <v>0</v>
      </c>
      <c r="AB58" s="990">
        <v>0</v>
      </c>
      <c r="AC58" s="990">
        <v>0</v>
      </c>
      <c r="AD58" s="990">
        <v>1819</v>
      </c>
    </row>
    <row r="59" spans="1:30" ht="19.5" customHeight="1">
      <c r="A59" s="1198"/>
      <c r="B59" s="992" t="s">
        <v>313</v>
      </c>
      <c r="C59" s="989" t="s">
        <v>1372</v>
      </c>
      <c r="D59" s="990">
        <v>0</v>
      </c>
      <c r="E59" s="990">
        <v>0</v>
      </c>
      <c r="F59" s="990"/>
      <c r="G59" s="990">
        <v>0</v>
      </c>
      <c r="H59" s="990">
        <v>0</v>
      </c>
      <c r="I59" s="990">
        <v>0</v>
      </c>
      <c r="J59" s="990">
        <v>0</v>
      </c>
      <c r="K59" s="990">
        <v>0</v>
      </c>
      <c r="L59" s="990"/>
      <c r="M59" s="990">
        <v>0</v>
      </c>
      <c r="N59" s="990">
        <v>0</v>
      </c>
      <c r="O59" s="990">
        <v>0</v>
      </c>
      <c r="P59" s="990">
        <v>1819</v>
      </c>
      <c r="Q59" s="990">
        <v>0</v>
      </c>
      <c r="R59" s="991">
        <v>1819</v>
      </c>
      <c r="S59" s="1196"/>
      <c r="T59" s="992" t="s">
        <v>313</v>
      </c>
      <c r="U59" s="989" t="s">
        <v>1372</v>
      </c>
      <c r="V59" s="990">
        <v>0</v>
      </c>
      <c r="W59" s="990">
        <v>0</v>
      </c>
      <c r="X59" s="990">
        <v>1819</v>
      </c>
      <c r="Y59" s="990">
        <v>0</v>
      </c>
      <c r="Z59" s="990">
        <v>0</v>
      </c>
      <c r="AA59" s="990">
        <v>0</v>
      </c>
      <c r="AB59" s="990">
        <v>0</v>
      </c>
      <c r="AC59" s="990">
        <v>0</v>
      </c>
      <c r="AD59" s="990">
        <v>1819</v>
      </c>
    </row>
    <row r="60" spans="1:30" ht="19.5" customHeight="1">
      <c r="A60" s="1198"/>
      <c r="B60" s="992" t="s">
        <v>313</v>
      </c>
      <c r="C60" s="989" t="s">
        <v>1373</v>
      </c>
      <c r="D60" s="990">
        <v>0</v>
      </c>
      <c r="E60" s="990">
        <v>0</v>
      </c>
      <c r="F60" s="990"/>
      <c r="G60" s="990">
        <v>0</v>
      </c>
      <c r="H60" s="990">
        <v>0</v>
      </c>
      <c r="I60" s="990">
        <v>0</v>
      </c>
      <c r="J60" s="990">
        <v>0</v>
      </c>
      <c r="K60" s="990">
        <v>0</v>
      </c>
      <c r="L60" s="990"/>
      <c r="M60" s="990">
        <v>0</v>
      </c>
      <c r="N60" s="990">
        <v>0</v>
      </c>
      <c r="O60" s="990">
        <v>0</v>
      </c>
      <c r="P60" s="990">
        <v>1819</v>
      </c>
      <c r="Q60" s="990">
        <v>0</v>
      </c>
      <c r="R60" s="991">
        <v>1819</v>
      </c>
      <c r="S60" s="1196"/>
      <c r="T60" s="992" t="s">
        <v>313</v>
      </c>
      <c r="U60" s="989" t="s">
        <v>1373</v>
      </c>
      <c r="V60" s="990">
        <v>0</v>
      </c>
      <c r="W60" s="990">
        <v>0</v>
      </c>
      <c r="X60" s="990">
        <v>1819</v>
      </c>
      <c r="Y60" s="990">
        <v>0</v>
      </c>
      <c r="Z60" s="990">
        <v>0</v>
      </c>
      <c r="AA60" s="990">
        <v>0</v>
      </c>
      <c r="AB60" s="990">
        <v>0</v>
      </c>
      <c r="AC60" s="990">
        <v>0</v>
      </c>
      <c r="AD60" s="990">
        <v>1819</v>
      </c>
    </row>
    <row r="61" spans="1:30" ht="19.5" customHeight="1">
      <c r="A61" s="1198"/>
      <c r="B61" s="992" t="s">
        <v>313</v>
      </c>
      <c r="C61" s="989" t="s">
        <v>1374</v>
      </c>
      <c r="D61" s="990">
        <v>0</v>
      </c>
      <c r="E61" s="990">
        <v>0</v>
      </c>
      <c r="F61" s="990"/>
      <c r="G61" s="990">
        <v>0</v>
      </c>
      <c r="H61" s="990">
        <v>0</v>
      </c>
      <c r="I61" s="990">
        <v>0</v>
      </c>
      <c r="J61" s="990">
        <v>0</v>
      </c>
      <c r="K61" s="990">
        <v>0</v>
      </c>
      <c r="L61" s="990"/>
      <c r="M61" s="990">
        <v>0</v>
      </c>
      <c r="N61" s="990">
        <v>0</v>
      </c>
      <c r="O61" s="990">
        <v>0</v>
      </c>
      <c r="P61" s="990">
        <v>1069</v>
      </c>
      <c r="Q61" s="990">
        <v>0</v>
      </c>
      <c r="R61" s="991">
        <v>1069</v>
      </c>
      <c r="S61" s="1196"/>
      <c r="T61" s="992" t="s">
        <v>313</v>
      </c>
      <c r="U61" s="989" t="s">
        <v>1374</v>
      </c>
      <c r="V61" s="990">
        <v>0</v>
      </c>
      <c r="W61" s="990">
        <v>0</v>
      </c>
      <c r="X61" s="990">
        <v>1069</v>
      </c>
      <c r="Y61" s="990">
        <v>0</v>
      </c>
      <c r="Z61" s="990">
        <v>0</v>
      </c>
      <c r="AA61" s="990">
        <v>0</v>
      </c>
      <c r="AB61" s="990">
        <v>0</v>
      </c>
      <c r="AC61" s="990">
        <v>0</v>
      </c>
      <c r="AD61" s="990">
        <v>1069</v>
      </c>
    </row>
    <row r="62" spans="1:30" ht="19.5" customHeight="1">
      <c r="A62" s="1198"/>
      <c r="B62" s="992" t="s">
        <v>313</v>
      </c>
      <c r="C62" s="989" t="s">
        <v>1375</v>
      </c>
      <c r="D62" s="990">
        <v>0</v>
      </c>
      <c r="E62" s="990">
        <v>0</v>
      </c>
      <c r="F62" s="990"/>
      <c r="G62" s="990">
        <v>0</v>
      </c>
      <c r="H62" s="990">
        <v>0</v>
      </c>
      <c r="I62" s="990">
        <v>0</v>
      </c>
      <c r="J62" s="990">
        <v>0</v>
      </c>
      <c r="K62" s="990">
        <v>0</v>
      </c>
      <c r="L62" s="990"/>
      <c r="M62" s="990">
        <v>0</v>
      </c>
      <c r="N62" s="990">
        <v>0</v>
      </c>
      <c r="O62" s="990">
        <v>0</v>
      </c>
      <c r="P62" s="990">
        <v>569</v>
      </c>
      <c r="Q62" s="990">
        <v>0</v>
      </c>
      <c r="R62" s="991">
        <v>569</v>
      </c>
      <c r="S62" s="1196"/>
      <c r="T62" s="992" t="s">
        <v>313</v>
      </c>
      <c r="U62" s="989" t="s">
        <v>1375</v>
      </c>
      <c r="V62" s="990">
        <v>0</v>
      </c>
      <c r="W62" s="990">
        <v>0</v>
      </c>
      <c r="X62" s="990">
        <v>569</v>
      </c>
      <c r="Y62" s="990">
        <v>0</v>
      </c>
      <c r="Z62" s="990">
        <v>0</v>
      </c>
      <c r="AA62" s="990">
        <v>0</v>
      </c>
      <c r="AB62" s="990">
        <v>0</v>
      </c>
      <c r="AC62" s="990">
        <v>0</v>
      </c>
      <c r="AD62" s="990">
        <v>569</v>
      </c>
    </row>
    <row r="63" spans="1:30" ht="19.5" customHeight="1">
      <c r="A63" s="1198"/>
      <c r="B63" s="992" t="s">
        <v>1032</v>
      </c>
      <c r="C63" s="989"/>
      <c r="D63" s="990"/>
      <c r="E63" s="990"/>
      <c r="F63" s="990"/>
      <c r="G63" s="990"/>
      <c r="H63" s="990"/>
      <c r="I63" s="990"/>
      <c r="J63" s="990"/>
      <c r="K63" s="990"/>
      <c r="L63" s="990"/>
      <c r="M63" s="990"/>
      <c r="N63" s="990"/>
      <c r="O63" s="990"/>
      <c r="P63" s="990">
        <v>538</v>
      </c>
      <c r="Q63" s="990"/>
      <c r="R63" s="991">
        <v>538</v>
      </c>
      <c r="S63" s="1196"/>
      <c r="T63" s="992" t="s">
        <v>1032</v>
      </c>
      <c r="U63" s="989"/>
      <c r="V63" s="990"/>
      <c r="W63" s="990"/>
      <c r="X63" s="990">
        <v>538</v>
      </c>
      <c r="Y63" s="990"/>
      <c r="Z63" s="990"/>
      <c r="AA63" s="990"/>
      <c r="AB63" s="990"/>
      <c r="AC63" s="990"/>
      <c r="AD63" s="990">
        <v>538</v>
      </c>
    </row>
    <row r="64" spans="1:30" ht="19.5" customHeight="1">
      <c r="A64" s="1198" t="s">
        <v>1299</v>
      </c>
      <c r="B64" s="992" t="s">
        <v>313</v>
      </c>
      <c r="C64" s="989" t="s">
        <v>4</v>
      </c>
      <c r="D64" s="990">
        <v>120</v>
      </c>
      <c r="E64" s="990">
        <v>9552</v>
      </c>
      <c r="F64" s="990"/>
      <c r="G64" s="990">
        <v>2558</v>
      </c>
      <c r="H64" s="990">
        <v>0</v>
      </c>
      <c r="I64" s="990">
        <v>0</v>
      </c>
      <c r="J64" s="990">
        <v>0</v>
      </c>
      <c r="K64" s="990">
        <v>0</v>
      </c>
      <c r="L64" s="990"/>
      <c r="M64" s="990">
        <v>0</v>
      </c>
      <c r="N64" s="990">
        <v>0</v>
      </c>
      <c r="O64" s="990">
        <v>0</v>
      </c>
      <c r="P64" s="990">
        <v>27129</v>
      </c>
      <c r="Q64" s="990">
        <v>12230</v>
      </c>
      <c r="R64" s="991">
        <v>39359</v>
      </c>
      <c r="S64" s="1196" t="s">
        <v>1299</v>
      </c>
      <c r="T64" s="992" t="s">
        <v>313</v>
      </c>
      <c r="U64" s="989" t="s">
        <v>4</v>
      </c>
      <c r="V64" s="990">
        <v>0</v>
      </c>
      <c r="W64" s="990">
        <v>0</v>
      </c>
      <c r="X64" s="990">
        <v>36289</v>
      </c>
      <c r="Y64" s="990">
        <v>24890</v>
      </c>
      <c r="Z64" s="990">
        <v>0</v>
      </c>
      <c r="AA64" s="990">
        <v>0</v>
      </c>
      <c r="AB64" s="990">
        <v>0</v>
      </c>
      <c r="AC64" s="990">
        <v>3070</v>
      </c>
      <c r="AD64" s="990">
        <v>39359</v>
      </c>
    </row>
    <row r="65" spans="1:30" ht="19.5" customHeight="1">
      <c r="A65" s="1198"/>
      <c r="B65" s="992" t="s">
        <v>313</v>
      </c>
      <c r="C65" s="989" t="s">
        <v>1372</v>
      </c>
      <c r="D65" s="990">
        <v>120</v>
      </c>
      <c r="E65" s="990">
        <v>9552</v>
      </c>
      <c r="F65" s="990"/>
      <c r="G65" s="990">
        <v>2558</v>
      </c>
      <c r="H65" s="990">
        <v>0</v>
      </c>
      <c r="I65" s="990">
        <v>0</v>
      </c>
      <c r="J65" s="990">
        <v>0</v>
      </c>
      <c r="K65" s="990">
        <v>0</v>
      </c>
      <c r="L65" s="990"/>
      <c r="M65" s="990">
        <v>0</v>
      </c>
      <c r="N65" s="990">
        <v>0</v>
      </c>
      <c r="O65" s="990">
        <v>0</v>
      </c>
      <c r="P65" s="990">
        <v>27129</v>
      </c>
      <c r="Q65" s="990">
        <v>12230</v>
      </c>
      <c r="R65" s="991">
        <v>39359</v>
      </c>
      <c r="S65" s="1196"/>
      <c r="T65" s="992" t="s">
        <v>313</v>
      </c>
      <c r="U65" s="989" t="s">
        <v>1372</v>
      </c>
      <c r="V65" s="990">
        <v>0</v>
      </c>
      <c r="W65" s="990">
        <v>0</v>
      </c>
      <c r="X65" s="990">
        <v>36289</v>
      </c>
      <c r="Y65" s="990">
        <v>24890</v>
      </c>
      <c r="Z65" s="990">
        <v>0</v>
      </c>
      <c r="AA65" s="990">
        <v>0</v>
      </c>
      <c r="AB65" s="990">
        <v>0</v>
      </c>
      <c r="AC65" s="990">
        <v>3070</v>
      </c>
      <c r="AD65" s="990">
        <v>39359</v>
      </c>
    </row>
    <row r="66" spans="1:30" ht="19.5" customHeight="1">
      <c r="A66" s="1198"/>
      <c r="B66" s="992" t="s">
        <v>313</v>
      </c>
      <c r="C66" s="989" t="s">
        <v>1373</v>
      </c>
      <c r="D66" s="990">
        <v>120</v>
      </c>
      <c r="E66" s="990">
        <v>9552</v>
      </c>
      <c r="F66" s="990"/>
      <c r="G66" s="990">
        <v>2558</v>
      </c>
      <c r="H66" s="990">
        <v>0</v>
      </c>
      <c r="I66" s="990">
        <v>0</v>
      </c>
      <c r="J66" s="990">
        <v>0</v>
      </c>
      <c r="K66" s="990">
        <v>0</v>
      </c>
      <c r="L66" s="990"/>
      <c r="M66" s="990">
        <v>0</v>
      </c>
      <c r="N66" s="990">
        <v>0</v>
      </c>
      <c r="O66" s="990">
        <v>0</v>
      </c>
      <c r="P66" s="990">
        <v>27129</v>
      </c>
      <c r="Q66" s="990">
        <v>12230</v>
      </c>
      <c r="R66" s="991">
        <v>39359</v>
      </c>
      <c r="S66" s="1196"/>
      <c r="T66" s="992" t="s">
        <v>313</v>
      </c>
      <c r="U66" s="989" t="s">
        <v>1373</v>
      </c>
      <c r="V66" s="990">
        <v>0</v>
      </c>
      <c r="W66" s="990">
        <v>0</v>
      </c>
      <c r="X66" s="990">
        <v>35984</v>
      </c>
      <c r="Y66" s="990">
        <v>24890</v>
      </c>
      <c r="Z66" s="990">
        <v>0</v>
      </c>
      <c r="AA66" s="990">
        <v>0</v>
      </c>
      <c r="AB66" s="990">
        <v>305</v>
      </c>
      <c r="AC66" s="990">
        <v>3070</v>
      </c>
      <c r="AD66" s="990">
        <v>39359</v>
      </c>
    </row>
    <row r="67" spans="1:30" ht="19.5" customHeight="1">
      <c r="A67" s="1198"/>
      <c r="B67" s="992" t="s">
        <v>313</v>
      </c>
      <c r="C67" s="989" t="s">
        <v>1374</v>
      </c>
      <c r="D67" s="990">
        <v>120</v>
      </c>
      <c r="E67" s="990">
        <v>9552</v>
      </c>
      <c r="F67" s="990"/>
      <c r="G67" s="990">
        <v>2558</v>
      </c>
      <c r="H67" s="990">
        <v>0</v>
      </c>
      <c r="I67" s="990">
        <v>0</v>
      </c>
      <c r="J67" s="990">
        <v>0</v>
      </c>
      <c r="K67" s="990">
        <v>0</v>
      </c>
      <c r="L67" s="990"/>
      <c r="M67" s="990">
        <v>0</v>
      </c>
      <c r="N67" s="990">
        <v>0</v>
      </c>
      <c r="O67" s="990">
        <v>0</v>
      </c>
      <c r="P67" s="990">
        <v>28077</v>
      </c>
      <c r="Q67" s="990">
        <v>12230</v>
      </c>
      <c r="R67" s="991">
        <v>40307</v>
      </c>
      <c r="S67" s="1196"/>
      <c r="T67" s="992" t="s">
        <v>313</v>
      </c>
      <c r="U67" s="989" t="s">
        <v>1374</v>
      </c>
      <c r="V67" s="990">
        <v>0</v>
      </c>
      <c r="W67" s="990">
        <v>0</v>
      </c>
      <c r="X67" s="990">
        <v>36932</v>
      </c>
      <c r="Y67" s="990">
        <v>24890</v>
      </c>
      <c r="Z67" s="990">
        <v>0</v>
      </c>
      <c r="AA67" s="990">
        <v>0</v>
      </c>
      <c r="AB67" s="990">
        <v>605</v>
      </c>
      <c r="AC67" s="990">
        <v>2770</v>
      </c>
      <c r="AD67" s="990">
        <v>40307</v>
      </c>
    </row>
    <row r="68" spans="1:30" ht="19.5" customHeight="1">
      <c r="A68" s="1198"/>
      <c r="B68" s="992" t="s">
        <v>313</v>
      </c>
      <c r="C68" s="989" t="s">
        <v>1375</v>
      </c>
      <c r="D68" s="990">
        <v>120</v>
      </c>
      <c r="E68" s="990">
        <v>10704</v>
      </c>
      <c r="F68" s="990"/>
      <c r="G68" s="990">
        <v>2920</v>
      </c>
      <c r="H68" s="990">
        <v>0</v>
      </c>
      <c r="I68" s="990">
        <v>0</v>
      </c>
      <c r="J68" s="990">
        <v>0</v>
      </c>
      <c r="K68" s="990">
        <v>0</v>
      </c>
      <c r="L68" s="990"/>
      <c r="M68" s="990">
        <v>0</v>
      </c>
      <c r="N68" s="990">
        <v>0</v>
      </c>
      <c r="O68" s="990">
        <v>0</v>
      </c>
      <c r="P68" s="990">
        <v>24577</v>
      </c>
      <c r="Q68" s="990">
        <v>13744</v>
      </c>
      <c r="R68" s="991">
        <v>38321</v>
      </c>
      <c r="S68" s="1196"/>
      <c r="T68" s="992" t="s">
        <v>313</v>
      </c>
      <c r="U68" s="989" t="s">
        <v>1375</v>
      </c>
      <c r="V68" s="990">
        <v>0</v>
      </c>
      <c r="W68" s="990">
        <v>0</v>
      </c>
      <c r="X68" s="990">
        <v>37946</v>
      </c>
      <c r="Y68" s="990">
        <v>24890</v>
      </c>
      <c r="Z68" s="990">
        <v>0</v>
      </c>
      <c r="AA68" s="990">
        <v>0</v>
      </c>
      <c r="AB68" s="990">
        <v>305</v>
      </c>
      <c r="AC68" s="990">
        <v>70</v>
      </c>
      <c r="AD68" s="990">
        <v>38321</v>
      </c>
    </row>
    <row r="69" spans="1:30" ht="19.5" customHeight="1">
      <c r="A69" s="1198"/>
      <c r="B69" s="992" t="s">
        <v>1032</v>
      </c>
      <c r="C69" s="989"/>
      <c r="D69" s="990">
        <v>109</v>
      </c>
      <c r="E69" s="990">
        <v>10704</v>
      </c>
      <c r="F69" s="990"/>
      <c r="G69" s="990">
        <v>2919</v>
      </c>
      <c r="H69" s="990"/>
      <c r="I69" s="990"/>
      <c r="J69" s="990"/>
      <c r="K69" s="990"/>
      <c r="L69" s="990"/>
      <c r="M69" s="990"/>
      <c r="N69" s="990"/>
      <c r="O69" s="990"/>
      <c r="P69" s="990">
        <v>24459</v>
      </c>
      <c r="Q69" s="990">
        <v>13732</v>
      </c>
      <c r="R69" s="991">
        <v>38191</v>
      </c>
      <c r="S69" s="1196"/>
      <c r="T69" s="992" t="s">
        <v>1032</v>
      </c>
      <c r="U69" s="989"/>
      <c r="V69" s="990"/>
      <c r="W69" s="990"/>
      <c r="X69" s="990">
        <v>37918</v>
      </c>
      <c r="Y69" s="990">
        <v>25578</v>
      </c>
      <c r="Z69" s="990"/>
      <c r="AA69" s="990"/>
      <c r="AB69" s="990">
        <v>274</v>
      </c>
      <c r="AC69" s="990">
        <v>0</v>
      </c>
      <c r="AD69" s="990">
        <v>38192</v>
      </c>
    </row>
    <row r="70" spans="1:30" ht="19.5" customHeight="1">
      <c r="A70" s="1195" t="s">
        <v>1300</v>
      </c>
      <c r="B70" s="992" t="s">
        <v>313</v>
      </c>
      <c r="C70" s="993" t="s">
        <v>4</v>
      </c>
      <c r="D70" s="991">
        <v>3520</v>
      </c>
      <c r="E70" s="991">
        <v>25094</v>
      </c>
      <c r="F70" s="991"/>
      <c r="G70" s="991">
        <v>7672</v>
      </c>
      <c r="H70" s="991">
        <v>0</v>
      </c>
      <c r="I70" s="991">
        <v>0</v>
      </c>
      <c r="J70" s="991">
        <v>0</v>
      </c>
      <c r="K70" s="991">
        <v>0</v>
      </c>
      <c r="L70" s="991"/>
      <c r="M70" s="991">
        <v>0</v>
      </c>
      <c r="N70" s="991">
        <v>0</v>
      </c>
      <c r="O70" s="991">
        <v>0</v>
      </c>
      <c r="P70" s="991">
        <v>99536</v>
      </c>
      <c r="Q70" s="991">
        <v>36286</v>
      </c>
      <c r="R70" s="991">
        <v>135822</v>
      </c>
      <c r="S70" s="1196" t="s">
        <v>1300</v>
      </c>
      <c r="T70" s="992" t="s">
        <v>313</v>
      </c>
      <c r="U70" s="989" t="s">
        <v>4</v>
      </c>
      <c r="V70" s="991">
        <v>0</v>
      </c>
      <c r="W70" s="991">
        <v>0</v>
      </c>
      <c r="X70" s="991">
        <v>130052</v>
      </c>
      <c r="Y70" s="991">
        <v>75595</v>
      </c>
      <c r="Z70" s="991">
        <v>0</v>
      </c>
      <c r="AA70" s="991">
        <v>0</v>
      </c>
      <c r="AB70" s="991">
        <v>0</v>
      </c>
      <c r="AC70" s="991">
        <v>5770</v>
      </c>
      <c r="AD70" s="991">
        <v>135822</v>
      </c>
    </row>
    <row r="71" spans="1:30" ht="19.5" customHeight="1">
      <c r="A71" s="1195"/>
      <c r="B71" s="992" t="s">
        <v>313</v>
      </c>
      <c r="C71" s="989" t="s">
        <v>1372</v>
      </c>
      <c r="D71" s="991">
        <v>3520</v>
      </c>
      <c r="E71" s="991">
        <v>25094</v>
      </c>
      <c r="F71" s="991"/>
      <c r="G71" s="991">
        <v>7672</v>
      </c>
      <c r="H71" s="991">
        <v>0</v>
      </c>
      <c r="I71" s="991">
        <v>0</v>
      </c>
      <c r="J71" s="991">
        <v>0</v>
      </c>
      <c r="K71" s="991">
        <v>0</v>
      </c>
      <c r="L71" s="991"/>
      <c r="M71" s="991">
        <v>0</v>
      </c>
      <c r="N71" s="991">
        <v>0</v>
      </c>
      <c r="O71" s="991">
        <v>0</v>
      </c>
      <c r="P71" s="991">
        <v>99536</v>
      </c>
      <c r="Q71" s="991">
        <v>36286</v>
      </c>
      <c r="R71" s="991">
        <v>135822</v>
      </c>
      <c r="S71" s="1196"/>
      <c r="T71" s="992" t="s">
        <v>313</v>
      </c>
      <c r="U71" s="989" t="s">
        <v>1372</v>
      </c>
      <c r="V71" s="991">
        <v>0</v>
      </c>
      <c r="W71" s="991">
        <v>0</v>
      </c>
      <c r="X71" s="991">
        <v>129598</v>
      </c>
      <c r="Y71" s="991">
        <v>75595</v>
      </c>
      <c r="Z71" s="991">
        <v>0</v>
      </c>
      <c r="AA71" s="991">
        <v>0</v>
      </c>
      <c r="AB71" s="991">
        <v>454</v>
      </c>
      <c r="AC71" s="991">
        <v>5770</v>
      </c>
      <c r="AD71" s="991">
        <v>135822</v>
      </c>
    </row>
    <row r="72" spans="1:30" ht="19.5" customHeight="1">
      <c r="A72" s="1195"/>
      <c r="B72" s="992" t="s">
        <v>313</v>
      </c>
      <c r="C72" s="989" t="s">
        <v>1373</v>
      </c>
      <c r="D72" s="991">
        <v>3520</v>
      </c>
      <c r="E72" s="991">
        <v>25094</v>
      </c>
      <c r="F72" s="991"/>
      <c r="G72" s="991">
        <v>7672</v>
      </c>
      <c r="H72" s="991">
        <v>0</v>
      </c>
      <c r="I72" s="991">
        <v>0</v>
      </c>
      <c r="J72" s="991">
        <v>0</v>
      </c>
      <c r="K72" s="991">
        <v>0</v>
      </c>
      <c r="L72" s="991"/>
      <c r="M72" s="991">
        <v>0</v>
      </c>
      <c r="N72" s="991">
        <v>0</v>
      </c>
      <c r="O72" s="991">
        <v>0</v>
      </c>
      <c r="P72" s="991">
        <v>98776</v>
      </c>
      <c r="Q72" s="991">
        <v>36286</v>
      </c>
      <c r="R72" s="991">
        <v>135062</v>
      </c>
      <c r="S72" s="1196"/>
      <c r="T72" s="992" t="s">
        <v>313</v>
      </c>
      <c r="U72" s="989" t="s">
        <v>1373</v>
      </c>
      <c r="V72" s="991">
        <v>0</v>
      </c>
      <c r="W72" s="991">
        <v>0</v>
      </c>
      <c r="X72" s="991">
        <v>127893</v>
      </c>
      <c r="Y72" s="991">
        <v>75595</v>
      </c>
      <c r="Z72" s="991">
        <v>0</v>
      </c>
      <c r="AA72" s="991">
        <v>0</v>
      </c>
      <c r="AB72" s="991">
        <v>1399</v>
      </c>
      <c r="AC72" s="991">
        <v>5770</v>
      </c>
      <c r="AD72" s="991">
        <v>135062</v>
      </c>
    </row>
    <row r="73" spans="1:30" ht="19.5" customHeight="1">
      <c r="A73" s="1195"/>
      <c r="B73" s="992" t="s">
        <v>313</v>
      </c>
      <c r="C73" s="989" t="s">
        <v>1374</v>
      </c>
      <c r="D73" s="991">
        <v>3520</v>
      </c>
      <c r="E73" s="991">
        <v>25094</v>
      </c>
      <c r="F73" s="991"/>
      <c r="G73" s="991">
        <v>7672</v>
      </c>
      <c r="H73" s="991">
        <v>0</v>
      </c>
      <c r="I73" s="991">
        <v>0</v>
      </c>
      <c r="J73" s="991">
        <v>0</v>
      </c>
      <c r="K73" s="991">
        <v>0</v>
      </c>
      <c r="L73" s="991"/>
      <c r="M73" s="991">
        <v>0</v>
      </c>
      <c r="N73" s="991">
        <v>0</v>
      </c>
      <c r="O73" s="991">
        <v>0</v>
      </c>
      <c r="P73" s="991">
        <v>99711</v>
      </c>
      <c r="Q73" s="991">
        <v>36286</v>
      </c>
      <c r="R73" s="991">
        <v>135997</v>
      </c>
      <c r="S73" s="1196"/>
      <c r="T73" s="992" t="s">
        <v>313</v>
      </c>
      <c r="U73" s="989" t="s">
        <v>1374</v>
      </c>
      <c r="V73" s="991">
        <v>0</v>
      </c>
      <c r="W73" s="991">
        <v>0</v>
      </c>
      <c r="X73" s="991">
        <v>128768</v>
      </c>
      <c r="Y73" s="991">
        <v>75595</v>
      </c>
      <c r="Z73" s="991">
        <v>0</v>
      </c>
      <c r="AA73" s="991">
        <v>0</v>
      </c>
      <c r="AB73" s="991">
        <v>2234</v>
      </c>
      <c r="AC73" s="991">
        <v>4995</v>
      </c>
      <c r="AD73" s="991">
        <v>135997</v>
      </c>
    </row>
    <row r="74" spans="1:30" ht="19.5" customHeight="1">
      <c r="A74" s="1195"/>
      <c r="B74" s="992" t="s">
        <v>313</v>
      </c>
      <c r="C74" s="989" t="s">
        <v>1375</v>
      </c>
      <c r="D74" s="991">
        <v>3580</v>
      </c>
      <c r="E74" s="991">
        <v>26186</v>
      </c>
      <c r="F74" s="991"/>
      <c r="G74" s="991">
        <v>7634</v>
      </c>
      <c r="H74" s="991">
        <v>0</v>
      </c>
      <c r="I74" s="991">
        <v>0</v>
      </c>
      <c r="J74" s="991">
        <v>0</v>
      </c>
      <c r="K74" s="991">
        <v>0</v>
      </c>
      <c r="L74" s="991"/>
      <c r="M74" s="991">
        <v>0</v>
      </c>
      <c r="N74" s="991">
        <v>0</v>
      </c>
      <c r="O74" s="991">
        <v>0</v>
      </c>
      <c r="P74" s="991">
        <v>88511</v>
      </c>
      <c r="Q74" s="991">
        <v>37400</v>
      </c>
      <c r="R74" s="991">
        <v>125911</v>
      </c>
      <c r="S74" s="1196"/>
      <c r="T74" s="992" t="s">
        <v>313</v>
      </c>
      <c r="U74" s="989" t="s">
        <v>1375</v>
      </c>
      <c r="V74" s="991">
        <v>0</v>
      </c>
      <c r="W74" s="991">
        <v>0</v>
      </c>
      <c r="X74" s="991">
        <v>123682</v>
      </c>
      <c r="Y74" s="991">
        <v>75595</v>
      </c>
      <c r="Z74" s="991">
        <v>0</v>
      </c>
      <c r="AA74" s="991">
        <v>0</v>
      </c>
      <c r="AB74" s="991">
        <v>1934</v>
      </c>
      <c r="AC74" s="991">
        <v>295</v>
      </c>
      <c r="AD74" s="991">
        <v>125911</v>
      </c>
    </row>
    <row r="75" spans="1:30" ht="19.5" customHeight="1">
      <c r="A75" s="1195"/>
      <c r="B75" s="992" t="s">
        <v>1032</v>
      </c>
      <c r="C75" s="989"/>
      <c r="D75" s="991">
        <v>3569</v>
      </c>
      <c r="E75" s="991">
        <v>25980</v>
      </c>
      <c r="F75" s="991">
        <v>0</v>
      </c>
      <c r="G75" s="991">
        <v>7624</v>
      </c>
      <c r="H75" s="991">
        <v>0</v>
      </c>
      <c r="I75" s="991">
        <v>0</v>
      </c>
      <c r="J75" s="991">
        <v>0</v>
      </c>
      <c r="K75" s="991">
        <v>0</v>
      </c>
      <c r="L75" s="991">
        <v>0</v>
      </c>
      <c r="M75" s="991">
        <v>0</v>
      </c>
      <c r="N75" s="991">
        <v>0</v>
      </c>
      <c r="O75" s="991">
        <v>0</v>
      </c>
      <c r="P75" s="991">
        <v>88311</v>
      </c>
      <c r="Q75" s="991">
        <v>37173</v>
      </c>
      <c r="R75" s="991">
        <v>125484</v>
      </c>
      <c r="S75" s="1196"/>
      <c r="T75" s="992" t="s">
        <v>1032</v>
      </c>
      <c r="U75" s="989"/>
      <c r="V75" s="991"/>
      <c r="W75" s="991"/>
      <c r="X75" s="991">
        <v>123383</v>
      </c>
      <c r="Y75" s="991">
        <v>72336</v>
      </c>
      <c r="Z75" s="991">
        <v>0</v>
      </c>
      <c r="AA75" s="991">
        <v>0</v>
      </c>
      <c r="AB75" s="991">
        <v>1903</v>
      </c>
      <c r="AC75" s="991">
        <v>199</v>
      </c>
      <c r="AD75" s="991">
        <v>125485</v>
      </c>
    </row>
    <row r="76" spans="1:30" ht="19.5" customHeight="1">
      <c r="A76" s="1198" t="s">
        <v>1301</v>
      </c>
      <c r="B76" s="992" t="s">
        <v>313</v>
      </c>
      <c r="C76" s="989" t="s">
        <v>4</v>
      </c>
      <c r="D76" s="990">
        <v>7645</v>
      </c>
      <c r="E76" s="990">
        <v>18039</v>
      </c>
      <c r="F76" s="990"/>
      <c r="G76" s="990">
        <v>5902</v>
      </c>
      <c r="H76" s="990">
        <v>0</v>
      </c>
      <c r="I76" s="990">
        <v>0</v>
      </c>
      <c r="J76" s="990">
        <v>0</v>
      </c>
      <c r="K76" s="990">
        <v>0</v>
      </c>
      <c r="L76" s="990"/>
      <c r="M76" s="990">
        <v>0</v>
      </c>
      <c r="N76" s="990">
        <v>0</v>
      </c>
      <c r="O76" s="990">
        <v>0</v>
      </c>
      <c r="P76" s="990">
        <v>98089</v>
      </c>
      <c r="Q76" s="990">
        <v>31586</v>
      </c>
      <c r="R76" s="991">
        <v>129675</v>
      </c>
      <c r="S76" s="1196" t="s">
        <v>1301</v>
      </c>
      <c r="T76" s="992" t="s">
        <v>313</v>
      </c>
      <c r="U76" s="989" t="s">
        <v>4</v>
      </c>
      <c r="V76" s="990">
        <v>0</v>
      </c>
      <c r="W76" s="990">
        <v>0</v>
      </c>
      <c r="X76" s="990">
        <v>128675</v>
      </c>
      <c r="Y76" s="990">
        <v>47076</v>
      </c>
      <c r="Z76" s="990">
        <v>0</v>
      </c>
      <c r="AA76" s="990">
        <v>0</v>
      </c>
      <c r="AB76" s="990">
        <v>0</v>
      </c>
      <c r="AC76" s="990">
        <v>1000</v>
      </c>
      <c r="AD76" s="990">
        <v>129675</v>
      </c>
    </row>
    <row r="77" spans="1:30" ht="19.5" customHeight="1">
      <c r="A77" s="1198"/>
      <c r="B77" s="992" t="s">
        <v>313</v>
      </c>
      <c r="C77" s="989" t="s">
        <v>1372</v>
      </c>
      <c r="D77" s="990">
        <v>7645</v>
      </c>
      <c r="E77" s="990">
        <v>18039</v>
      </c>
      <c r="F77" s="990"/>
      <c r="G77" s="990">
        <v>5902</v>
      </c>
      <c r="H77" s="990">
        <v>0</v>
      </c>
      <c r="I77" s="990">
        <v>0</v>
      </c>
      <c r="J77" s="990">
        <v>0</v>
      </c>
      <c r="K77" s="990">
        <v>0</v>
      </c>
      <c r="L77" s="990"/>
      <c r="M77" s="990">
        <v>0</v>
      </c>
      <c r="N77" s="990">
        <v>0</v>
      </c>
      <c r="O77" s="990">
        <v>0</v>
      </c>
      <c r="P77" s="990">
        <v>98089</v>
      </c>
      <c r="Q77" s="990">
        <v>31586</v>
      </c>
      <c r="R77" s="991">
        <v>129675</v>
      </c>
      <c r="S77" s="1196"/>
      <c r="T77" s="992" t="s">
        <v>313</v>
      </c>
      <c r="U77" s="989" t="s">
        <v>1372</v>
      </c>
      <c r="V77" s="990">
        <v>0</v>
      </c>
      <c r="W77" s="990">
        <v>0</v>
      </c>
      <c r="X77" s="990">
        <v>128675</v>
      </c>
      <c r="Y77" s="990">
        <v>47076</v>
      </c>
      <c r="Z77" s="990">
        <v>0</v>
      </c>
      <c r="AA77" s="990">
        <v>0</v>
      </c>
      <c r="AB77" s="990">
        <v>0</v>
      </c>
      <c r="AC77" s="990">
        <v>1000</v>
      </c>
      <c r="AD77" s="990">
        <v>129675</v>
      </c>
    </row>
    <row r="78" spans="1:30" ht="19.5" customHeight="1">
      <c r="A78" s="1198"/>
      <c r="B78" s="992" t="s">
        <v>313</v>
      </c>
      <c r="C78" s="989" t="s">
        <v>1373</v>
      </c>
      <c r="D78" s="990">
        <v>7645</v>
      </c>
      <c r="E78" s="990">
        <v>18039</v>
      </c>
      <c r="F78" s="990"/>
      <c r="G78" s="990">
        <v>5902</v>
      </c>
      <c r="H78" s="990">
        <v>0</v>
      </c>
      <c r="I78" s="990">
        <v>0</v>
      </c>
      <c r="J78" s="990">
        <v>0</v>
      </c>
      <c r="K78" s="990">
        <v>0</v>
      </c>
      <c r="L78" s="990"/>
      <c r="M78" s="990">
        <v>0</v>
      </c>
      <c r="N78" s="990">
        <v>0</v>
      </c>
      <c r="O78" s="990">
        <v>0</v>
      </c>
      <c r="P78" s="990">
        <v>98089</v>
      </c>
      <c r="Q78" s="990">
        <v>31586</v>
      </c>
      <c r="R78" s="991">
        <v>129675</v>
      </c>
      <c r="S78" s="1196"/>
      <c r="T78" s="992" t="s">
        <v>313</v>
      </c>
      <c r="U78" s="989" t="s">
        <v>1373</v>
      </c>
      <c r="V78" s="990">
        <v>0</v>
      </c>
      <c r="W78" s="990">
        <v>0</v>
      </c>
      <c r="X78" s="990">
        <v>128495</v>
      </c>
      <c r="Y78" s="990">
        <v>47076</v>
      </c>
      <c r="Z78" s="990">
        <v>0</v>
      </c>
      <c r="AA78" s="990">
        <v>0</v>
      </c>
      <c r="AB78" s="990">
        <v>180</v>
      </c>
      <c r="AC78" s="990">
        <v>1000</v>
      </c>
      <c r="AD78" s="990">
        <v>129675</v>
      </c>
    </row>
    <row r="79" spans="1:30" ht="19.5" customHeight="1">
      <c r="A79" s="1198"/>
      <c r="B79" s="992" t="s">
        <v>313</v>
      </c>
      <c r="C79" s="989" t="s">
        <v>1374</v>
      </c>
      <c r="D79" s="990">
        <v>7645</v>
      </c>
      <c r="E79" s="990">
        <v>18039</v>
      </c>
      <c r="F79" s="990"/>
      <c r="G79" s="990">
        <v>5902</v>
      </c>
      <c r="H79" s="990">
        <v>0</v>
      </c>
      <c r="I79" s="990">
        <v>0</v>
      </c>
      <c r="J79" s="990">
        <v>0</v>
      </c>
      <c r="K79" s="990">
        <v>0</v>
      </c>
      <c r="L79" s="990"/>
      <c r="M79" s="990">
        <v>0</v>
      </c>
      <c r="N79" s="990">
        <v>0</v>
      </c>
      <c r="O79" s="990">
        <v>0</v>
      </c>
      <c r="P79" s="990">
        <v>98749</v>
      </c>
      <c r="Q79" s="990">
        <v>31586</v>
      </c>
      <c r="R79" s="991">
        <v>130335</v>
      </c>
      <c r="S79" s="1196"/>
      <c r="T79" s="992" t="s">
        <v>313</v>
      </c>
      <c r="U79" s="989" t="s">
        <v>1374</v>
      </c>
      <c r="V79" s="990">
        <v>0</v>
      </c>
      <c r="W79" s="990">
        <v>0</v>
      </c>
      <c r="X79" s="990">
        <v>129155</v>
      </c>
      <c r="Y79" s="990">
        <v>47076</v>
      </c>
      <c r="Z79" s="990">
        <v>0</v>
      </c>
      <c r="AA79" s="990">
        <v>0</v>
      </c>
      <c r="AB79" s="990">
        <v>1180</v>
      </c>
      <c r="AC79" s="990">
        <v>0</v>
      </c>
      <c r="AD79" s="990">
        <v>130335</v>
      </c>
    </row>
    <row r="80" spans="1:30" ht="19.5" customHeight="1">
      <c r="A80" s="1198"/>
      <c r="B80" s="992" t="s">
        <v>313</v>
      </c>
      <c r="C80" s="989" t="s">
        <v>1375</v>
      </c>
      <c r="D80" s="990">
        <v>5785</v>
      </c>
      <c r="E80" s="990">
        <v>17839</v>
      </c>
      <c r="F80" s="990"/>
      <c r="G80" s="990">
        <v>5974</v>
      </c>
      <c r="H80" s="990">
        <v>0</v>
      </c>
      <c r="I80" s="990">
        <v>0</v>
      </c>
      <c r="J80" s="990">
        <v>0</v>
      </c>
      <c r="K80" s="990">
        <v>0</v>
      </c>
      <c r="L80" s="990"/>
      <c r="M80" s="990">
        <v>0</v>
      </c>
      <c r="N80" s="990">
        <v>0</v>
      </c>
      <c r="O80" s="990">
        <v>0</v>
      </c>
      <c r="P80" s="990">
        <v>89749</v>
      </c>
      <c r="Q80" s="990">
        <v>29686</v>
      </c>
      <c r="R80" s="991">
        <v>119435</v>
      </c>
      <c r="S80" s="1196"/>
      <c r="T80" s="992" t="s">
        <v>313</v>
      </c>
      <c r="U80" s="989" t="s">
        <v>1375</v>
      </c>
      <c r="V80" s="990">
        <v>0</v>
      </c>
      <c r="W80" s="990">
        <v>0</v>
      </c>
      <c r="X80" s="990">
        <v>118107</v>
      </c>
      <c r="Y80" s="990">
        <v>47076</v>
      </c>
      <c r="Z80" s="990">
        <v>0</v>
      </c>
      <c r="AA80" s="990">
        <v>0</v>
      </c>
      <c r="AB80" s="990">
        <v>1328</v>
      </c>
      <c r="AC80" s="990">
        <v>0</v>
      </c>
      <c r="AD80" s="990">
        <v>119435</v>
      </c>
    </row>
    <row r="81" spans="1:30" ht="19.5" customHeight="1">
      <c r="A81" s="1198"/>
      <c r="B81" s="992" t="s">
        <v>1032</v>
      </c>
      <c r="C81" s="989"/>
      <c r="D81" s="990">
        <v>5785</v>
      </c>
      <c r="E81" s="990">
        <v>17814</v>
      </c>
      <c r="F81" s="990"/>
      <c r="G81" s="990">
        <v>5956</v>
      </c>
      <c r="H81" s="990"/>
      <c r="I81" s="990"/>
      <c r="J81" s="990"/>
      <c r="K81" s="990"/>
      <c r="L81" s="990"/>
      <c r="M81" s="990"/>
      <c r="N81" s="990"/>
      <c r="O81" s="990"/>
      <c r="P81" s="990">
        <v>89684</v>
      </c>
      <c r="Q81" s="990">
        <v>29555</v>
      </c>
      <c r="R81" s="991">
        <v>119239</v>
      </c>
      <c r="S81" s="1196"/>
      <c r="T81" s="992" t="s">
        <v>1032</v>
      </c>
      <c r="U81" s="989"/>
      <c r="V81" s="990"/>
      <c r="W81" s="990"/>
      <c r="X81" s="990">
        <v>117930</v>
      </c>
      <c r="Y81" s="990">
        <v>48449</v>
      </c>
      <c r="Z81" s="990"/>
      <c r="AA81" s="990"/>
      <c r="AB81" s="990">
        <v>1210</v>
      </c>
      <c r="AC81" s="990"/>
      <c r="AD81" s="990">
        <v>119140</v>
      </c>
    </row>
    <row r="82" spans="1:30" ht="19.5" customHeight="1">
      <c r="A82" s="1198" t="s">
        <v>1302</v>
      </c>
      <c r="B82" s="992" t="s">
        <v>313</v>
      </c>
      <c r="C82" s="989" t="s">
        <v>4</v>
      </c>
      <c r="D82" s="990">
        <v>400</v>
      </c>
      <c r="E82" s="990">
        <v>8093</v>
      </c>
      <c r="F82" s="990"/>
      <c r="G82" s="990">
        <v>2231</v>
      </c>
      <c r="H82" s="990">
        <v>0</v>
      </c>
      <c r="I82" s="990">
        <v>0</v>
      </c>
      <c r="J82" s="990">
        <v>0</v>
      </c>
      <c r="K82" s="990">
        <v>0</v>
      </c>
      <c r="L82" s="990"/>
      <c r="M82" s="990">
        <v>0</v>
      </c>
      <c r="N82" s="990">
        <v>0</v>
      </c>
      <c r="O82" s="990">
        <v>0</v>
      </c>
      <c r="P82" s="990">
        <v>31688</v>
      </c>
      <c r="Q82" s="990">
        <v>10724</v>
      </c>
      <c r="R82" s="991">
        <v>42412</v>
      </c>
      <c r="S82" s="1196" t="s">
        <v>1302</v>
      </c>
      <c r="T82" s="992" t="s">
        <v>313</v>
      </c>
      <c r="U82" s="989" t="s">
        <v>4</v>
      </c>
      <c r="V82" s="990">
        <v>0</v>
      </c>
      <c r="W82" s="990">
        <v>0</v>
      </c>
      <c r="X82" s="990">
        <v>41412</v>
      </c>
      <c r="Y82" s="990">
        <v>22304</v>
      </c>
      <c r="Z82" s="990">
        <v>0</v>
      </c>
      <c r="AA82" s="990">
        <v>0</v>
      </c>
      <c r="AB82" s="990">
        <v>0</v>
      </c>
      <c r="AC82" s="990">
        <v>1000</v>
      </c>
      <c r="AD82" s="990">
        <v>42412</v>
      </c>
    </row>
    <row r="83" spans="1:30" ht="19.5" customHeight="1">
      <c r="A83" s="1198"/>
      <c r="B83" s="992" t="s">
        <v>313</v>
      </c>
      <c r="C83" s="989" t="s">
        <v>1372</v>
      </c>
      <c r="D83" s="990">
        <v>400</v>
      </c>
      <c r="E83" s="990">
        <v>8093</v>
      </c>
      <c r="F83" s="990"/>
      <c r="G83" s="990">
        <v>2231</v>
      </c>
      <c r="H83" s="990">
        <v>0</v>
      </c>
      <c r="I83" s="990">
        <v>0</v>
      </c>
      <c r="J83" s="990">
        <v>0</v>
      </c>
      <c r="K83" s="990">
        <v>0</v>
      </c>
      <c r="L83" s="990"/>
      <c r="M83" s="990">
        <v>0</v>
      </c>
      <c r="N83" s="990">
        <v>0</v>
      </c>
      <c r="O83" s="990">
        <v>0</v>
      </c>
      <c r="P83" s="990">
        <v>31688</v>
      </c>
      <c r="Q83" s="990">
        <v>10724</v>
      </c>
      <c r="R83" s="991">
        <v>42412</v>
      </c>
      <c r="S83" s="1196"/>
      <c r="T83" s="992" t="s">
        <v>313</v>
      </c>
      <c r="U83" s="989" t="s">
        <v>1372</v>
      </c>
      <c r="V83" s="990">
        <v>0</v>
      </c>
      <c r="W83" s="990">
        <v>0</v>
      </c>
      <c r="X83" s="990">
        <v>41412</v>
      </c>
      <c r="Y83" s="990">
        <v>22304</v>
      </c>
      <c r="Z83" s="990">
        <v>0</v>
      </c>
      <c r="AA83" s="990">
        <v>0</v>
      </c>
      <c r="AB83" s="990">
        <v>0</v>
      </c>
      <c r="AC83" s="990">
        <v>1000</v>
      </c>
      <c r="AD83" s="990">
        <v>42412</v>
      </c>
    </row>
    <row r="84" spans="1:30" ht="19.5" customHeight="1">
      <c r="A84" s="1198"/>
      <c r="B84" s="992" t="s">
        <v>313</v>
      </c>
      <c r="C84" s="989" t="s">
        <v>1373</v>
      </c>
      <c r="D84" s="990">
        <v>400</v>
      </c>
      <c r="E84" s="990">
        <v>8093</v>
      </c>
      <c r="F84" s="990"/>
      <c r="G84" s="990">
        <v>2231</v>
      </c>
      <c r="H84" s="990">
        <v>0</v>
      </c>
      <c r="I84" s="990">
        <v>0</v>
      </c>
      <c r="J84" s="990">
        <v>0</v>
      </c>
      <c r="K84" s="990">
        <v>0</v>
      </c>
      <c r="L84" s="990"/>
      <c r="M84" s="990">
        <v>0</v>
      </c>
      <c r="N84" s="990">
        <v>0</v>
      </c>
      <c r="O84" s="990">
        <v>0</v>
      </c>
      <c r="P84" s="990">
        <v>32448</v>
      </c>
      <c r="Q84" s="990">
        <v>10724</v>
      </c>
      <c r="R84" s="991">
        <v>43172</v>
      </c>
      <c r="S84" s="1196"/>
      <c r="T84" s="992" t="s">
        <v>313</v>
      </c>
      <c r="U84" s="989" t="s">
        <v>1373</v>
      </c>
      <c r="V84" s="990">
        <v>0</v>
      </c>
      <c r="W84" s="990">
        <v>0</v>
      </c>
      <c r="X84" s="990">
        <v>42063</v>
      </c>
      <c r="Y84" s="990">
        <v>22304</v>
      </c>
      <c r="Z84" s="990">
        <v>0</v>
      </c>
      <c r="AA84" s="990">
        <v>0</v>
      </c>
      <c r="AB84" s="990">
        <v>109</v>
      </c>
      <c r="AC84" s="990">
        <v>1000</v>
      </c>
      <c r="AD84" s="990">
        <v>43172</v>
      </c>
    </row>
    <row r="85" spans="1:30" ht="19.5" customHeight="1">
      <c r="A85" s="1198"/>
      <c r="B85" s="992" t="s">
        <v>313</v>
      </c>
      <c r="C85" s="989" t="s">
        <v>1374</v>
      </c>
      <c r="D85" s="990">
        <v>400</v>
      </c>
      <c r="E85" s="990">
        <v>8093</v>
      </c>
      <c r="F85" s="990"/>
      <c r="G85" s="990">
        <v>2231</v>
      </c>
      <c r="H85" s="990">
        <v>0</v>
      </c>
      <c r="I85" s="990">
        <v>0</v>
      </c>
      <c r="J85" s="990">
        <v>0</v>
      </c>
      <c r="K85" s="990">
        <v>0</v>
      </c>
      <c r="L85" s="990"/>
      <c r="M85" s="990">
        <v>0</v>
      </c>
      <c r="N85" s="990">
        <v>0</v>
      </c>
      <c r="O85" s="990">
        <v>0</v>
      </c>
      <c r="P85" s="990">
        <v>32689</v>
      </c>
      <c r="Q85" s="990">
        <v>10724</v>
      </c>
      <c r="R85" s="991">
        <v>43413</v>
      </c>
      <c r="S85" s="1196"/>
      <c r="T85" s="992" t="s">
        <v>313</v>
      </c>
      <c r="U85" s="989" t="s">
        <v>1374</v>
      </c>
      <c r="V85" s="990">
        <v>0</v>
      </c>
      <c r="W85" s="990">
        <v>0</v>
      </c>
      <c r="X85" s="990">
        <v>42304</v>
      </c>
      <c r="Y85" s="990">
        <v>22304</v>
      </c>
      <c r="Z85" s="990">
        <v>0</v>
      </c>
      <c r="AA85" s="990">
        <v>0</v>
      </c>
      <c r="AB85" s="990">
        <v>859</v>
      </c>
      <c r="AC85" s="990">
        <v>250</v>
      </c>
      <c r="AD85" s="990">
        <v>43413</v>
      </c>
    </row>
    <row r="86" spans="1:30" ht="19.5" customHeight="1">
      <c r="A86" s="1198"/>
      <c r="B86" s="992" t="s">
        <v>313</v>
      </c>
      <c r="C86" s="989" t="s">
        <v>1375</v>
      </c>
      <c r="D86" s="990">
        <v>400</v>
      </c>
      <c r="E86" s="990">
        <v>9452</v>
      </c>
      <c r="F86" s="990"/>
      <c r="G86" s="990">
        <v>2647</v>
      </c>
      <c r="H86" s="990">
        <v>0</v>
      </c>
      <c r="I86" s="990">
        <v>0</v>
      </c>
      <c r="J86" s="990">
        <v>0</v>
      </c>
      <c r="K86" s="990">
        <v>0</v>
      </c>
      <c r="L86" s="990"/>
      <c r="M86" s="990">
        <v>0</v>
      </c>
      <c r="N86" s="990">
        <v>0</v>
      </c>
      <c r="O86" s="990">
        <v>0</v>
      </c>
      <c r="P86" s="990">
        <v>33689</v>
      </c>
      <c r="Q86" s="990">
        <v>12499</v>
      </c>
      <c r="R86" s="991">
        <v>46188</v>
      </c>
      <c r="S86" s="1196"/>
      <c r="T86" s="992" t="s">
        <v>313</v>
      </c>
      <c r="U86" s="989" t="s">
        <v>1375</v>
      </c>
      <c r="V86" s="990">
        <v>0</v>
      </c>
      <c r="W86" s="990">
        <v>0</v>
      </c>
      <c r="X86" s="990">
        <v>45074</v>
      </c>
      <c r="Y86" s="990">
        <v>22304</v>
      </c>
      <c r="Z86" s="990">
        <v>0</v>
      </c>
      <c r="AA86" s="990">
        <v>0</v>
      </c>
      <c r="AB86" s="990">
        <v>864</v>
      </c>
      <c r="AC86" s="990">
        <v>250</v>
      </c>
      <c r="AD86" s="990">
        <v>46188</v>
      </c>
    </row>
    <row r="87" spans="1:30" ht="19.5" customHeight="1">
      <c r="A87" s="1198"/>
      <c r="B87" s="992" t="s">
        <v>1032</v>
      </c>
      <c r="C87" s="989"/>
      <c r="D87" s="990">
        <v>199</v>
      </c>
      <c r="E87" s="990">
        <v>9452</v>
      </c>
      <c r="F87" s="990"/>
      <c r="G87" s="990">
        <v>2668</v>
      </c>
      <c r="H87" s="990"/>
      <c r="I87" s="990"/>
      <c r="J87" s="990"/>
      <c r="K87" s="990"/>
      <c r="L87" s="990"/>
      <c r="M87" s="990"/>
      <c r="N87" s="990"/>
      <c r="O87" s="990"/>
      <c r="P87" s="990">
        <v>33470</v>
      </c>
      <c r="Q87" s="990">
        <v>12319</v>
      </c>
      <c r="R87" s="991">
        <v>45789</v>
      </c>
      <c r="S87" s="1196"/>
      <c r="T87" s="992" t="s">
        <v>1032</v>
      </c>
      <c r="U87" s="989"/>
      <c r="V87" s="990"/>
      <c r="W87" s="990"/>
      <c r="X87" s="990">
        <v>44905</v>
      </c>
      <c r="Y87" s="990">
        <v>25680</v>
      </c>
      <c r="Z87" s="990"/>
      <c r="AA87" s="990"/>
      <c r="AB87" s="990">
        <v>864</v>
      </c>
      <c r="AC87" s="990">
        <v>0</v>
      </c>
      <c r="AD87" s="990">
        <v>45769</v>
      </c>
    </row>
    <row r="88" spans="1:30" ht="19.5" customHeight="1">
      <c r="A88" s="1195" t="s">
        <v>1303</v>
      </c>
      <c r="B88" s="992" t="s">
        <v>313</v>
      </c>
      <c r="C88" s="993" t="s">
        <v>4</v>
      </c>
      <c r="D88" s="991">
        <v>8045</v>
      </c>
      <c r="E88" s="991">
        <v>26132</v>
      </c>
      <c r="F88" s="991"/>
      <c r="G88" s="991">
        <v>8133</v>
      </c>
      <c r="H88" s="991">
        <v>0</v>
      </c>
      <c r="I88" s="991">
        <v>0</v>
      </c>
      <c r="J88" s="991">
        <v>0</v>
      </c>
      <c r="K88" s="991">
        <v>0</v>
      </c>
      <c r="L88" s="991"/>
      <c r="M88" s="991">
        <v>0</v>
      </c>
      <c r="N88" s="991">
        <v>0</v>
      </c>
      <c r="O88" s="991">
        <v>0</v>
      </c>
      <c r="P88" s="991">
        <v>129777</v>
      </c>
      <c r="Q88" s="991">
        <v>42310</v>
      </c>
      <c r="R88" s="991">
        <v>172087</v>
      </c>
      <c r="S88" s="1196" t="s">
        <v>1303</v>
      </c>
      <c r="T88" s="992" t="s">
        <v>313</v>
      </c>
      <c r="U88" s="989" t="s">
        <v>4</v>
      </c>
      <c r="V88" s="991">
        <v>0</v>
      </c>
      <c r="W88" s="991">
        <v>0</v>
      </c>
      <c r="X88" s="991">
        <v>170087</v>
      </c>
      <c r="Y88" s="991">
        <v>69380</v>
      </c>
      <c r="Z88" s="991">
        <v>0</v>
      </c>
      <c r="AA88" s="991">
        <v>0</v>
      </c>
      <c r="AB88" s="991">
        <v>0</v>
      </c>
      <c r="AC88" s="991">
        <v>2000</v>
      </c>
      <c r="AD88" s="991">
        <v>172087</v>
      </c>
    </row>
    <row r="89" spans="1:30" ht="19.5" customHeight="1">
      <c r="A89" s="1195"/>
      <c r="B89" s="992" t="s">
        <v>313</v>
      </c>
      <c r="C89" s="989" t="s">
        <v>1372</v>
      </c>
      <c r="D89" s="991">
        <v>8045</v>
      </c>
      <c r="E89" s="991">
        <v>26132</v>
      </c>
      <c r="F89" s="991"/>
      <c r="G89" s="991">
        <v>8133</v>
      </c>
      <c r="H89" s="991">
        <v>0</v>
      </c>
      <c r="I89" s="991">
        <v>0</v>
      </c>
      <c r="J89" s="991">
        <v>0</v>
      </c>
      <c r="K89" s="991">
        <v>0</v>
      </c>
      <c r="L89" s="991"/>
      <c r="M89" s="991">
        <v>0</v>
      </c>
      <c r="N89" s="991">
        <v>0</v>
      </c>
      <c r="O89" s="991">
        <v>0</v>
      </c>
      <c r="P89" s="991">
        <v>129777</v>
      </c>
      <c r="Q89" s="991">
        <v>42310</v>
      </c>
      <c r="R89" s="991">
        <v>172087</v>
      </c>
      <c r="S89" s="1196"/>
      <c r="T89" s="992" t="s">
        <v>313</v>
      </c>
      <c r="U89" s="989" t="s">
        <v>1372</v>
      </c>
      <c r="V89" s="991">
        <v>0</v>
      </c>
      <c r="W89" s="991">
        <v>0</v>
      </c>
      <c r="X89" s="991">
        <v>170087</v>
      </c>
      <c r="Y89" s="991">
        <v>69380</v>
      </c>
      <c r="Z89" s="991">
        <v>0</v>
      </c>
      <c r="AA89" s="991">
        <v>0</v>
      </c>
      <c r="AB89" s="991">
        <v>0</v>
      </c>
      <c r="AC89" s="991">
        <v>2000</v>
      </c>
      <c r="AD89" s="991">
        <v>172087</v>
      </c>
    </row>
    <row r="90" spans="1:30" ht="19.5" customHeight="1">
      <c r="A90" s="1195"/>
      <c r="B90" s="992" t="s">
        <v>313</v>
      </c>
      <c r="C90" s="989" t="s">
        <v>1373</v>
      </c>
      <c r="D90" s="991">
        <v>8045</v>
      </c>
      <c r="E90" s="991">
        <v>26132</v>
      </c>
      <c r="F90" s="991"/>
      <c r="G90" s="991">
        <v>8133</v>
      </c>
      <c r="H90" s="991">
        <v>0</v>
      </c>
      <c r="I90" s="991">
        <v>0</v>
      </c>
      <c r="J90" s="991">
        <v>0</v>
      </c>
      <c r="K90" s="991">
        <v>0</v>
      </c>
      <c r="L90" s="991"/>
      <c r="M90" s="991">
        <v>0</v>
      </c>
      <c r="N90" s="991">
        <v>0</v>
      </c>
      <c r="O90" s="991">
        <v>0</v>
      </c>
      <c r="P90" s="991">
        <v>130537</v>
      </c>
      <c r="Q90" s="991">
        <v>42310</v>
      </c>
      <c r="R90" s="991">
        <v>172847</v>
      </c>
      <c r="S90" s="1196"/>
      <c r="T90" s="992" t="s">
        <v>313</v>
      </c>
      <c r="U90" s="989" t="s">
        <v>1373</v>
      </c>
      <c r="V90" s="991">
        <v>0</v>
      </c>
      <c r="W90" s="991">
        <v>0</v>
      </c>
      <c r="X90" s="991">
        <v>170558</v>
      </c>
      <c r="Y90" s="991">
        <v>69380</v>
      </c>
      <c r="Z90" s="991">
        <v>0</v>
      </c>
      <c r="AA90" s="991">
        <v>0</v>
      </c>
      <c r="AB90" s="991">
        <v>289</v>
      </c>
      <c r="AC90" s="991">
        <v>2000</v>
      </c>
      <c r="AD90" s="991">
        <v>172847</v>
      </c>
    </row>
    <row r="91" spans="1:30" ht="19.5" customHeight="1">
      <c r="A91" s="1195"/>
      <c r="B91" s="992" t="s">
        <v>313</v>
      </c>
      <c r="C91" s="989" t="s">
        <v>1374</v>
      </c>
      <c r="D91" s="991">
        <v>8045</v>
      </c>
      <c r="E91" s="991">
        <v>26132</v>
      </c>
      <c r="F91" s="991"/>
      <c r="G91" s="991">
        <v>8133</v>
      </c>
      <c r="H91" s="991">
        <v>0</v>
      </c>
      <c r="I91" s="991">
        <v>0</v>
      </c>
      <c r="J91" s="991">
        <v>0</v>
      </c>
      <c r="K91" s="991">
        <v>0</v>
      </c>
      <c r="L91" s="991"/>
      <c r="M91" s="991">
        <v>0</v>
      </c>
      <c r="N91" s="991">
        <v>0</v>
      </c>
      <c r="O91" s="991">
        <v>0</v>
      </c>
      <c r="P91" s="991">
        <v>131438</v>
      </c>
      <c r="Q91" s="991">
        <v>42310</v>
      </c>
      <c r="R91" s="991">
        <v>173748</v>
      </c>
      <c r="S91" s="1196"/>
      <c r="T91" s="992" t="s">
        <v>313</v>
      </c>
      <c r="U91" s="989" t="s">
        <v>1374</v>
      </c>
      <c r="V91" s="991">
        <v>0</v>
      </c>
      <c r="W91" s="991">
        <v>0</v>
      </c>
      <c r="X91" s="991">
        <v>171459</v>
      </c>
      <c r="Y91" s="991">
        <v>69380</v>
      </c>
      <c r="Z91" s="991">
        <v>0</v>
      </c>
      <c r="AA91" s="991">
        <v>0</v>
      </c>
      <c r="AB91" s="991">
        <v>2039</v>
      </c>
      <c r="AC91" s="991">
        <v>250</v>
      </c>
      <c r="AD91" s="991">
        <v>173748</v>
      </c>
    </row>
    <row r="92" spans="1:30" ht="19.5" customHeight="1">
      <c r="A92" s="1195"/>
      <c r="B92" s="992" t="s">
        <v>313</v>
      </c>
      <c r="C92" s="989" t="s">
        <v>1375</v>
      </c>
      <c r="D92" s="991">
        <v>6273</v>
      </c>
      <c r="E92" s="991">
        <v>27291</v>
      </c>
      <c r="F92" s="991"/>
      <c r="G92" s="991">
        <v>8621</v>
      </c>
      <c r="H92" s="991">
        <v>0</v>
      </c>
      <c r="I92" s="991">
        <v>0</v>
      </c>
      <c r="J92" s="991">
        <v>0</v>
      </c>
      <c r="K92" s="991">
        <v>0</v>
      </c>
      <c r="L92" s="991"/>
      <c r="M92" s="991">
        <v>0</v>
      </c>
      <c r="N92" s="991">
        <v>0</v>
      </c>
      <c r="O92" s="991">
        <v>0</v>
      </c>
      <c r="P92" s="991">
        <v>123438</v>
      </c>
      <c r="Q92" s="991">
        <v>42185</v>
      </c>
      <c r="R92" s="991">
        <v>165623</v>
      </c>
      <c r="S92" s="1196"/>
      <c r="T92" s="992" t="s">
        <v>313</v>
      </c>
      <c r="U92" s="989" t="s">
        <v>1375</v>
      </c>
      <c r="V92" s="991">
        <v>0</v>
      </c>
      <c r="W92" s="991">
        <v>0</v>
      </c>
      <c r="X92" s="991">
        <v>163181</v>
      </c>
      <c r="Y92" s="991">
        <v>69380</v>
      </c>
      <c r="Z92" s="991">
        <v>0</v>
      </c>
      <c r="AA92" s="991">
        <v>0</v>
      </c>
      <c r="AB92" s="991">
        <v>2192</v>
      </c>
      <c r="AC92" s="991">
        <v>250</v>
      </c>
      <c r="AD92" s="991">
        <v>165623</v>
      </c>
    </row>
    <row r="93" spans="1:30" ht="19.5" customHeight="1">
      <c r="A93" s="1195"/>
      <c r="B93" s="992" t="s">
        <v>1032</v>
      </c>
      <c r="C93" s="989"/>
      <c r="D93" s="991">
        <v>5984</v>
      </c>
      <c r="E93" s="991">
        <v>27266</v>
      </c>
      <c r="F93" s="991">
        <v>0</v>
      </c>
      <c r="G93" s="991">
        <v>8624</v>
      </c>
      <c r="H93" s="991">
        <v>0</v>
      </c>
      <c r="I93" s="991">
        <v>0</v>
      </c>
      <c r="J93" s="991">
        <v>0</v>
      </c>
      <c r="K93" s="991">
        <v>0</v>
      </c>
      <c r="L93" s="991">
        <v>0</v>
      </c>
      <c r="M93" s="991">
        <v>0</v>
      </c>
      <c r="N93" s="991">
        <v>0</v>
      </c>
      <c r="O93" s="991">
        <v>0</v>
      </c>
      <c r="P93" s="991">
        <v>123154</v>
      </c>
      <c r="Q93" s="991">
        <v>41874</v>
      </c>
      <c r="R93" s="991">
        <v>165028</v>
      </c>
      <c r="S93" s="1196"/>
      <c r="T93" s="992" t="s">
        <v>1032</v>
      </c>
      <c r="U93" s="989"/>
      <c r="V93" s="991"/>
      <c r="W93" s="991"/>
      <c r="X93" s="991">
        <v>162835</v>
      </c>
      <c r="Y93" s="991">
        <v>74129</v>
      </c>
      <c r="Z93" s="991">
        <v>0</v>
      </c>
      <c r="AA93" s="991">
        <v>0</v>
      </c>
      <c r="AB93" s="991">
        <v>2074</v>
      </c>
      <c r="AC93" s="991">
        <v>0</v>
      </c>
      <c r="AD93" s="991">
        <v>164909</v>
      </c>
    </row>
    <row r="94" spans="1:30" ht="19.5" customHeight="1">
      <c r="A94" s="1198" t="s">
        <v>1304</v>
      </c>
      <c r="B94" s="992" t="s">
        <v>313</v>
      </c>
      <c r="C94" s="989" t="s">
        <v>4</v>
      </c>
      <c r="D94" s="990">
        <v>1116</v>
      </c>
      <c r="E94" s="990">
        <v>0</v>
      </c>
      <c r="F94" s="990"/>
      <c r="G94" s="990">
        <v>0</v>
      </c>
      <c r="H94" s="990">
        <v>0</v>
      </c>
      <c r="I94" s="990">
        <v>0</v>
      </c>
      <c r="J94" s="990">
        <v>0</v>
      </c>
      <c r="K94" s="990">
        <v>0</v>
      </c>
      <c r="L94" s="990"/>
      <c r="M94" s="990">
        <v>0</v>
      </c>
      <c r="N94" s="990">
        <v>0</v>
      </c>
      <c r="O94" s="990">
        <v>0</v>
      </c>
      <c r="P94" s="990">
        <v>4182</v>
      </c>
      <c r="Q94" s="990">
        <v>1116</v>
      </c>
      <c r="R94" s="991">
        <v>5298</v>
      </c>
      <c r="S94" s="1196" t="s">
        <v>1304</v>
      </c>
      <c r="T94" s="992" t="s">
        <v>313</v>
      </c>
      <c r="U94" s="989" t="s">
        <v>4</v>
      </c>
      <c r="V94" s="990">
        <v>0</v>
      </c>
      <c r="W94" s="990">
        <v>0</v>
      </c>
      <c r="X94" s="990">
        <v>3598</v>
      </c>
      <c r="Y94" s="990">
        <v>0</v>
      </c>
      <c r="Z94" s="990">
        <v>0</v>
      </c>
      <c r="AA94" s="990">
        <v>0</v>
      </c>
      <c r="AB94" s="990">
        <v>1000</v>
      </c>
      <c r="AC94" s="990">
        <v>700</v>
      </c>
      <c r="AD94" s="990">
        <v>5298</v>
      </c>
    </row>
    <row r="95" spans="1:30" ht="19.5" customHeight="1">
      <c r="A95" s="1198"/>
      <c r="B95" s="992" t="s">
        <v>313</v>
      </c>
      <c r="C95" s="989" t="s">
        <v>1372</v>
      </c>
      <c r="D95" s="990">
        <v>1116</v>
      </c>
      <c r="E95" s="990">
        <v>0</v>
      </c>
      <c r="F95" s="990"/>
      <c r="G95" s="990">
        <v>0</v>
      </c>
      <c r="H95" s="990">
        <v>0</v>
      </c>
      <c r="I95" s="990">
        <v>0</v>
      </c>
      <c r="J95" s="990">
        <v>0</v>
      </c>
      <c r="K95" s="990">
        <v>0</v>
      </c>
      <c r="L95" s="990"/>
      <c r="M95" s="990">
        <v>0</v>
      </c>
      <c r="N95" s="990">
        <v>0</v>
      </c>
      <c r="O95" s="990">
        <v>0</v>
      </c>
      <c r="P95" s="990">
        <v>4182</v>
      </c>
      <c r="Q95" s="990">
        <v>1116</v>
      </c>
      <c r="R95" s="991">
        <v>5298</v>
      </c>
      <c r="S95" s="1196"/>
      <c r="T95" s="992" t="s">
        <v>313</v>
      </c>
      <c r="U95" s="989" t="s">
        <v>1372</v>
      </c>
      <c r="V95" s="990">
        <v>0</v>
      </c>
      <c r="W95" s="990">
        <v>0</v>
      </c>
      <c r="X95" s="990">
        <v>3598</v>
      </c>
      <c r="Y95" s="990">
        <v>0</v>
      </c>
      <c r="Z95" s="990">
        <v>0</v>
      </c>
      <c r="AA95" s="990">
        <v>0</v>
      </c>
      <c r="AB95" s="990">
        <v>1000</v>
      </c>
      <c r="AC95" s="990">
        <v>700</v>
      </c>
      <c r="AD95" s="990">
        <v>5298</v>
      </c>
    </row>
    <row r="96" spans="1:30" ht="19.5" customHeight="1">
      <c r="A96" s="1198"/>
      <c r="B96" s="992" t="s">
        <v>313</v>
      </c>
      <c r="C96" s="989" t="s">
        <v>1373</v>
      </c>
      <c r="D96" s="990">
        <v>1116</v>
      </c>
      <c r="E96" s="990">
        <v>0</v>
      </c>
      <c r="F96" s="990"/>
      <c r="G96" s="990">
        <v>0</v>
      </c>
      <c r="H96" s="990">
        <v>0</v>
      </c>
      <c r="I96" s="990">
        <v>0</v>
      </c>
      <c r="J96" s="990">
        <v>0</v>
      </c>
      <c r="K96" s="990">
        <v>0</v>
      </c>
      <c r="L96" s="990"/>
      <c r="M96" s="990">
        <v>0</v>
      </c>
      <c r="N96" s="990">
        <v>0</v>
      </c>
      <c r="O96" s="990">
        <v>0</v>
      </c>
      <c r="P96" s="990">
        <v>4182</v>
      </c>
      <c r="Q96" s="990">
        <v>1116</v>
      </c>
      <c r="R96" s="991">
        <v>5298</v>
      </c>
      <c r="S96" s="1196"/>
      <c r="T96" s="992" t="s">
        <v>313</v>
      </c>
      <c r="U96" s="989" t="s">
        <v>1373</v>
      </c>
      <c r="V96" s="990">
        <v>0</v>
      </c>
      <c r="W96" s="990">
        <v>0</v>
      </c>
      <c r="X96" s="990">
        <v>3598</v>
      </c>
      <c r="Y96" s="990">
        <v>0</v>
      </c>
      <c r="Z96" s="990">
        <v>0</v>
      </c>
      <c r="AA96" s="990">
        <v>0</v>
      </c>
      <c r="AB96" s="990">
        <v>1000</v>
      </c>
      <c r="AC96" s="990">
        <v>700</v>
      </c>
      <c r="AD96" s="990">
        <v>5298</v>
      </c>
    </row>
    <row r="97" spans="1:30" ht="19.5" customHeight="1">
      <c r="A97" s="1198"/>
      <c r="B97" s="992" t="s">
        <v>313</v>
      </c>
      <c r="C97" s="989" t="s">
        <v>1374</v>
      </c>
      <c r="D97" s="990">
        <v>1116</v>
      </c>
      <c r="E97" s="990">
        <v>0</v>
      </c>
      <c r="F97" s="990"/>
      <c r="G97" s="990">
        <v>0</v>
      </c>
      <c r="H97" s="990">
        <v>0</v>
      </c>
      <c r="I97" s="990">
        <v>0</v>
      </c>
      <c r="J97" s="990">
        <v>0</v>
      </c>
      <c r="K97" s="990">
        <v>0</v>
      </c>
      <c r="L97" s="990"/>
      <c r="M97" s="990">
        <v>0</v>
      </c>
      <c r="N97" s="990">
        <v>0</v>
      </c>
      <c r="O97" s="990">
        <v>0</v>
      </c>
      <c r="P97" s="990">
        <v>4182</v>
      </c>
      <c r="Q97" s="990">
        <v>1116</v>
      </c>
      <c r="R97" s="991">
        <v>5298</v>
      </c>
      <c r="S97" s="1196"/>
      <c r="T97" s="992" t="s">
        <v>313</v>
      </c>
      <c r="U97" s="989" t="s">
        <v>1374</v>
      </c>
      <c r="V97" s="990">
        <v>0</v>
      </c>
      <c r="W97" s="990">
        <v>0</v>
      </c>
      <c r="X97" s="990">
        <v>3598</v>
      </c>
      <c r="Y97" s="990">
        <v>0</v>
      </c>
      <c r="Z97" s="990">
        <v>0</v>
      </c>
      <c r="AA97" s="990">
        <v>0</v>
      </c>
      <c r="AB97" s="990">
        <v>1000</v>
      </c>
      <c r="AC97" s="990">
        <v>700</v>
      </c>
      <c r="AD97" s="990">
        <v>5298</v>
      </c>
    </row>
    <row r="98" spans="1:30" ht="19.5" customHeight="1">
      <c r="A98" s="1198"/>
      <c r="B98" s="992" t="s">
        <v>313</v>
      </c>
      <c r="C98" s="989" t="s">
        <v>1375</v>
      </c>
      <c r="D98" s="990">
        <v>1104</v>
      </c>
      <c r="E98" s="990">
        <v>0</v>
      </c>
      <c r="F98" s="990"/>
      <c r="G98" s="990">
        <v>12</v>
      </c>
      <c r="H98" s="990">
        <v>0</v>
      </c>
      <c r="I98" s="990">
        <v>0</v>
      </c>
      <c r="J98" s="990">
        <v>0</v>
      </c>
      <c r="K98" s="990">
        <v>0</v>
      </c>
      <c r="L98" s="990"/>
      <c r="M98" s="990">
        <v>0</v>
      </c>
      <c r="N98" s="990">
        <v>0</v>
      </c>
      <c r="O98" s="990">
        <v>0</v>
      </c>
      <c r="P98" s="990">
        <v>2382</v>
      </c>
      <c r="Q98" s="990">
        <v>1116</v>
      </c>
      <c r="R98" s="991">
        <v>3498</v>
      </c>
      <c r="S98" s="1196"/>
      <c r="T98" s="992" t="s">
        <v>313</v>
      </c>
      <c r="U98" s="989" t="s">
        <v>1375</v>
      </c>
      <c r="V98" s="990">
        <v>0</v>
      </c>
      <c r="W98" s="990">
        <v>0</v>
      </c>
      <c r="X98" s="990">
        <v>3098</v>
      </c>
      <c r="Y98" s="990">
        <v>0</v>
      </c>
      <c r="Z98" s="990">
        <v>0</v>
      </c>
      <c r="AA98" s="990">
        <v>0</v>
      </c>
      <c r="AB98" s="990">
        <v>400</v>
      </c>
      <c r="AC98" s="990">
        <v>0</v>
      </c>
      <c r="AD98" s="990">
        <v>3498</v>
      </c>
    </row>
    <row r="99" spans="1:30" ht="19.5" customHeight="1">
      <c r="A99" s="1198"/>
      <c r="B99" s="992" t="s">
        <v>1032</v>
      </c>
      <c r="C99" s="989"/>
      <c r="D99" s="990">
        <v>824</v>
      </c>
      <c r="E99" s="990"/>
      <c r="F99" s="990"/>
      <c r="G99" s="990">
        <v>12</v>
      </c>
      <c r="H99" s="990"/>
      <c r="I99" s="990"/>
      <c r="J99" s="990"/>
      <c r="K99" s="990"/>
      <c r="L99" s="990"/>
      <c r="M99" s="990"/>
      <c r="N99" s="990"/>
      <c r="O99" s="990"/>
      <c r="P99" s="990">
        <v>2305</v>
      </c>
      <c r="Q99" s="990">
        <v>836</v>
      </c>
      <c r="R99" s="991">
        <v>3141</v>
      </c>
      <c r="S99" s="1196"/>
      <c r="T99" s="992" t="s">
        <v>1032</v>
      </c>
      <c r="U99" s="989"/>
      <c r="V99" s="990"/>
      <c r="W99" s="990"/>
      <c r="X99" s="990">
        <v>3065</v>
      </c>
      <c r="Y99" s="990"/>
      <c r="Z99" s="990"/>
      <c r="AA99" s="990"/>
      <c r="AB99" s="990">
        <v>192</v>
      </c>
      <c r="AC99" s="990"/>
      <c r="AD99" s="990">
        <v>3257</v>
      </c>
    </row>
    <row r="100" spans="1:30" ht="19.5" customHeight="1">
      <c r="A100" s="1198" t="s">
        <v>1305</v>
      </c>
      <c r="B100" s="992" t="s">
        <v>313</v>
      </c>
      <c r="C100" s="989" t="s">
        <v>4</v>
      </c>
      <c r="D100" s="990">
        <v>0</v>
      </c>
      <c r="E100" s="990">
        <v>3377</v>
      </c>
      <c r="F100" s="990"/>
      <c r="G100" s="990">
        <v>912</v>
      </c>
      <c r="H100" s="990">
        <v>0</v>
      </c>
      <c r="I100" s="990">
        <v>0</v>
      </c>
      <c r="J100" s="990">
        <v>0</v>
      </c>
      <c r="K100" s="990">
        <v>0</v>
      </c>
      <c r="L100" s="990"/>
      <c r="M100" s="990">
        <v>0</v>
      </c>
      <c r="N100" s="990">
        <v>0</v>
      </c>
      <c r="O100" s="990">
        <v>0</v>
      </c>
      <c r="P100" s="990">
        <v>20441</v>
      </c>
      <c r="Q100" s="990">
        <v>4289</v>
      </c>
      <c r="R100" s="991">
        <v>24730</v>
      </c>
      <c r="S100" s="1196" t="s">
        <v>1305</v>
      </c>
      <c r="T100" s="992" t="s">
        <v>313</v>
      </c>
      <c r="U100" s="989" t="s">
        <v>4</v>
      </c>
      <c r="V100" s="990">
        <v>0</v>
      </c>
      <c r="W100" s="990">
        <v>0</v>
      </c>
      <c r="X100" s="990">
        <v>24730</v>
      </c>
      <c r="Y100" s="990">
        <v>19473</v>
      </c>
      <c r="Z100" s="990">
        <v>0</v>
      </c>
      <c r="AA100" s="990"/>
      <c r="AB100" s="990">
        <v>0</v>
      </c>
      <c r="AC100" s="990">
        <v>0</v>
      </c>
      <c r="AD100" s="990">
        <v>24730</v>
      </c>
    </row>
    <row r="101" spans="1:30" ht="19.5" customHeight="1">
      <c r="A101" s="1198"/>
      <c r="B101" s="992" t="s">
        <v>313</v>
      </c>
      <c r="C101" s="989" t="s">
        <v>1372</v>
      </c>
      <c r="D101" s="990">
        <v>0</v>
      </c>
      <c r="E101" s="990">
        <v>3377</v>
      </c>
      <c r="F101" s="990"/>
      <c r="G101" s="990">
        <v>912</v>
      </c>
      <c r="H101" s="990">
        <v>0</v>
      </c>
      <c r="I101" s="990">
        <v>0</v>
      </c>
      <c r="J101" s="990">
        <v>0</v>
      </c>
      <c r="K101" s="990">
        <v>0</v>
      </c>
      <c r="L101" s="990"/>
      <c r="M101" s="990">
        <v>0</v>
      </c>
      <c r="N101" s="990">
        <v>0</v>
      </c>
      <c r="O101" s="990">
        <v>0</v>
      </c>
      <c r="P101" s="990">
        <v>20441</v>
      </c>
      <c r="Q101" s="990">
        <v>4289</v>
      </c>
      <c r="R101" s="991">
        <v>24730</v>
      </c>
      <c r="S101" s="1196"/>
      <c r="T101" s="992" t="s">
        <v>313</v>
      </c>
      <c r="U101" s="989" t="s">
        <v>1372</v>
      </c>
      <c r="V101" s="990">
        <v>0</v>
      </c>
      <c r="W101" s="990">
        <v>0</v>
      </c>
      <c r="X101" s="990">
        <v>24730</v>
      </c>
      <c r="Y101" s="990">
        <v>19473</v>
      </c>
      <c r="Z101" s="990">
        <v>0</v>
      </c>
      <c r="AA101" s="990"/>
      <c r="AB101" s="990">
        <v>0</v>
      </c>
      <c r="AC101" s="990">
        <v>0</v>
      </c>
      <c r="AD101" s="990">
        <v>24730</v>
      </c>
    </row>
    <row r="102" spans="1:30" ht="19.5" customHeight="1">
      <c r="A102" s="1198"/>
      <c r="B102" s="992" t="s">
        <v>313</v>
      </c>
      <c r="C102" s="989" t="s">
        <v>1373</v>
      </c>
      <c r="D102" s="990">
        <v>0</v>
      </c>
      <c r="E102" s="990">
        <v>3377</v>
      </c>
      <c r="F102" s="990"/>
      <c r="G102" s="990">
        <v>912</v>
      </c>
      <c r="H102" s="990">
        <v>0</v>
      </c>
      <c r="I102" s="990">
        <v>0</v>
      </c>
      <c r="J102" s="990">
        <v>0</v>
      </c>
      <c r="K102" s="990">
        <v>0</v>
      </c>
      <c r="L102" s="990"/>
      <c r="M102" s="990">
        <v>0</v>
      </c>
      <c r="N102" s="990">
        <v>0</v>
      </c>
      <c r="O102" s="990">
        <v>0</v>
      </c>
      <c r="P102" s="990">
        <v>20441</v>
      </c>
      <c r="Q102" s="990">
        <v>4289</v>
      </c>
      <c r="R102" s="991">
        <v>24730</v>
      </c>
      <c r="S102" s="1196"/>
      <c r="T102" s="992" t="s">
        <v>313</v>
      </c>
      <c r="U102" s="989" t="s">
        <v>1373</v>
      </c>
      <c r="V102" s="990">
        <v>0</v>
      </c>
      <c r="W102" s="990">
        <v>0</v>
      </c>
      <c r="X102" s="990">
        <v>24730</v>
      </c>
      <c r="Y102" s="990">
        <v>19473</v>
      </c>
      <c r="Z102" s="990">
        <v>0</v>
      </c>
      <c r="AA102" s="990"/>
      <c r="AB102" s="990">
        <v>0</v>
      </c>
      <c r="AC102" s="990">
        <v>0</v>
      </c>
      <c r="AD102" s="990">
        <v>24730</v>
      </c>
    </row>
    <row r="103" spans="1:30" ht="19.5" customHeight="1">
      <c r="A103" s="1198"/>
      <c r="B103" s="992" t="s">
        <v>313</v>
      </c>
      <c r="C103" s="989" t="s">
        <v>1374</v>
      </c>
      <c r="D103" s="990">
        <v>0</v>
      </c>
      <c r="E103" s="990">
        <v>3377</v>
      </c>
      <c r="F103" s="990"/>
      <c r="G103" s="990">
        <v>912</v>
      </c>
      <c r="H103" s="990">
        <v>0</v>
      </c>
      <c r="I103" s="990">
        <v>0</v>
      </c>
      <c r="J103" s="990">
        <v>0</v>
      </c>
      <c r="K103" s="990">
        <v>0</v>
      </c>
      <c r="L103" s="990"/>
      <c r="M103" s="990">
        <v>0</v>
      </c>
      <c r="N103" s="990">
        <v>0</v>
      </c>
      <c r="O103" s="990">
        <v>0</v>
      </c>
      <c r="P103" s="990">
        <v>20441</v>
      </c>
      <c r="Q103" s="990">
        <v>4289</v>
      </c>
      <c r="R103" s="991">
        <v>24730</v>
      </c>
      <c r="S103" s="1196"/>
      <c r="T103" s="992" t="s">
        <v>313</v>
      </c>
      <c r="U103" s="989" t="s">
        <v>1374</v>
      </c>
      <c r="V103" s="990">
        <v>0</v>
      </c>
      <c r="W103" s="990">
        <v>0</v>
      </c>
      <c r="X103" s="990">
        <v>24730</v>
      </c>
      <c r="Y103" s="990">
        <v>19473</v>
      </c>
      <c r="Z103" s="990">
        <v>0</v>
      </c>
      <c r="AA103" s="990"/>
      <c r="AB103" s="990">
        <v>0</v>
      </c>
      <c r="AC103" s="990">
        <v>0</v>
      </c>
      <c r="AD103" s="990">
        <v>24730</v>
      </c>
    </row>
    <row r="104" spans="1:30" ht="19.5" customHeight="1">
      <c r="A104" s="1198"/>
      <c r="B104" s="992" t="s">
        <v>313</v>
      </c>
      <c r="C104" s="989" t="s">
        <v>1375</v>
      </c>
      <c r="D104" s="990">
        <v>0</v>
      </c>
      <c r="E104" s="990">
        <v>3377</v>
      </c>
      <c r="F104" s="990"/>
      <c r="G104" s="990">
        <v>912</v>
      </c>
      <c r="H104" s="990">
        <v>0</v>
      </c>
      <c r="I104" s="990">
        <v>0</v>
      </c>
      <c r="J104" s="990">
        <v>0</v>
      </c>
      <c r="K104" s="990">
        <v>0</v>
      </c>
      <c r="L104" s="990"/>
      <c r="M104" s="990">
        <v>0</v>
      </c>
      <c r="N104" s="990">
        <v>0</v>
      </c>
      <c r="O104" s="990">
        <v>0</v>
      </c>
      <c r="P104" s="990">
        <v>20441</v>
      </c>
      <c r="Q104" s="990">
        <v>4289</v>
      </c>
      <c r="R104" s="991">
        <v>24730</v>
      </c>
      <c r="S104" s="1196"/>
      <c r="T104" s="992" t="s">
        <v>313</v>
      </c>
      <c r="U104" s="989" t="s">
        <v>1375</v>
      </c>
      <c r="V104" s="990">
        <v>0</v>
      </c>
      <c r="W104" s="990">
        <v>0</v>
      </c>
      <c r="X104" s="990">
        <v>24730</v>
      </c>
      <c r="Y104" s="990">
        <v>19473</v>
      </c>
      <c r="Z104" s="990">
        <v>0</v>
      </c>
      <c r="AA104" s="990"/>
      <c r="AB104" s="990">
        <v>0</v>
      </c>
      <c r="AC104" s="990">
        <v>0</v>
      </c>
      <c r="AD104" s="990">
        <v>24730</v>
      </c>
    </row>
    <row r="105" spans="1:30" ht="19.5" customHeight="1">
      <c r="A105" s="1198"/>
      <c r="B105" s="992" t="s">
        <v>1032</v>
      </c>
      <c r="C105" s="989"/>
      <c r="D105" s="990"/>
      <c r="E105" s="990">
        <v>3135</v>
      </c>
      <c r="F105" s="990"/>
      <c r="G105" s="990">
        <v>833</v>
      </c>
      <c r="H105" s="990"/>
      <c r="I105" s="990"/>
      <c r="J105" s="990"/>
      <c r="K105" s="990"/>
      <c r="L105" s="990"/>
      <c r="M105" s="990"/>
      <c r="N105" s="990"/>
      <c r="O105" s="990"/>
      <c r="P105" s="990">
        <v>19199</v>
      </c>
      <c r="Q105" s="990">
        <v>3968</v>
      </c>
      <c r="R105" s="991">
        <v>23167</v>
      </c>
      <c r="S105" s="1196"/>
      <c r="T105" s="992" t="s">
        <v>1032</v>
      </c>
      <c r="U105" s="989"/>
      <c r="V105" s="990"/>
      <c r="W105" s="990"/>
      <c r="X105" s="990">
        <v>23167</v>
      </c>
      <c r="Y105" s="990">
        <v>18242</v>
      </c>
      <c r="Z105" s="990"/>
      <c r="AA105" s="990"/>
      <c r="AB105" s="990"/>
      <c r="AC105" s="990"/>
      <c r="AD105" s="990">
        <v>23167</v>
      </c>
    </row>
    <row r="106" spans="1:30" ht="19.5" customHeight="1">
      <c r="A106" s="1201" t="s">
        <v>1306</v>
      </c>
      <c r="B106" s="992" t="s">
        <v>313</v>
      </c>
      <c r="C106" s="989" t="s">
        <v>1373</v>
      </c>
      <c r="D106" s="990"/>
      <c r="E106" s="990">
        <v>1799</v>
      </c>
      <c r="F106" s="990"/>
      <c r="G106" s="990">
        <v>486</v>
      </c>
      <c r="H106" s="990"/>
      <c r="I106" s="990"/>
      <c r="J106" s="990"/>
      <c r="K106" s="990"/>
      <c r="L106" s="990"/>
      <c r="M106" s="990"/>
      <c r="N106" s="990"/>
      <c r="O106" s="990"/>
      <c r="P106" s="990">
        <v>3060</v>
      </c>
      <c r="Q106" s="990">
        <v>2285</v>
      </c>
      <c r="R106" s="991">
        <v>5345</v>
      </c>
      <c r="S106" s="1201" t="s">
        <v>1306</v>
      </c>
      <c r="T106" s="992" t="s">
        <v>313</v>
      </c>
      <c r="U106" s="989" t="s">
        <v>1373</v>
      </c>
      <c r="V106" s="990"/>
      <c r="W106" s="990"/>
      <c r="X106" s="990">
        <v>5345</v>
      </c>
      <c r="Y106" s="990">
        <v>3273</v>
      </c>
      <c r="Z106" s="990"/>
      <c r="AA106" s="990"/>
      <c r="AB106" s="990"/>
      <c r="AC106" s="990"/>
      <c r="AD106" s="990">
        <v>5345</v>
      </c>
    </row>
    <row r="107" spans="1:30" ht="19.5" customHeight="1">
      <c r="A107" s="1201"/>
      <c r="B107" s="992" t="s">
        <v>313</v>
      </c>
      <c r="C107" s="989" t="s">
        <v>1374</v>
      </c>
      <c r="D107" s="990"/>
      <c r="E107" s="990">
        <v>1799</v>
      </c>
      <c r="F107" s="990"/>
      <c r="G107" s="990">
        <v>486</v>
      </c>
      <c r="H107" s="990"/>
      <c r="I107" s="990"/>
      <c r="J107" s="990"/>
      <c r="K107" s="990"/>
      <c r="L107" s="990"/>
      <c r="M107" s="990"/>
      <c r="N107" s="990"/>
      <c r="O107" s="990"/>
      <c r="P107" s="990">
        <v>3060</v>
      </c>
      <c r="Q107" s="990">
        <v>2285</v>
      </c>
      <c r="R107" s="991">
        <v>5345</v>
      </c>
      <c r="S107" s="1201"/>
      <c r="T107" s="992" t="s">
        <v>313</v>
      </c>
      <c r="U107" s="989" t="s">
        <v>1374</v>
      </c>
      <c r="V107" s="990"/>
      <c r="W107" s="990"/>
      <c r="X107" s="990">
        <v>5345</v>
      </c>
      <c r="Y107" s="990">
        <v>3273</v>
      </c>
      <c r="Z107" s="990"/>
      <c r="AA107" s="990"/>
      <c r="AB107" s="990"/>
      <c r="AC107" s="990"/>
      <c r="AD107" s="990">
        <v>5345</v>
      </c>
    </row>
    <row r="108" spans="1:30" ht="19.5" customHeight="1">
      <c r="A108" s="1201"/>
      <c r="B108" s="992" t="s">
        <v>313</v>
      </c>
      <c r="C108" s="989" t="s">
        <v>1375</v>
      </c>
      <c r="D108" s="990"/>
      <c r="E108" s="990">
        <v>1799</v>
      </c>
      <c r="F108" s="990"/>
      <c r="G108" s="990">
        <v>486</v>
      </c>
      <c r="H108" s="990"/>
      <c r="I108" s="990"/>
      <c r="J108" s="990"/>
      <c r="K108" s="990"/>
      <c r="L108" s="990"/>
      <c r="M108" s="990"/>
      <c r="N108" s="990"/>
      <c r="O108" s="990"/>
      <c r="P108" s="990">
        <v>4617</v>
      </c>
      <c r="Q108" s="990">
        <v>2285</v>
      </c>
      <c r="R108" s="991">
        <v>6902</v>
      </c>
      <c r="S108" s="1201"/>
      <c r="T108" s="992" t="s">
        <v>313</v>
      </c>
      <c r="U108" s="989" t="s">
        <v>1375</v>
      </c>
      <c r="V108" s="990"/>
      <c r="W108" s="990"/>
      <c r="X108" s="990">
        <v>6902</v>
      </c>
      <c r="Y108" s="990">
        <v>3273</v>
      </c>
      <c r="Z108" s="990"/>
      <c r="AA108" s="990"/>
      <c r="AB108" s="990"/>
      <c r="AC108" s="990"/>
      <c r="AD108" s="990">
        <v>6902</v>
      </c>
    </row>
    <row r="109" spans="1:30" ht="19.5" customHeight="1">
      <c r="A109" s="1201"/>
      <c r="B109" s="992" t="s">
        <v>1032</v>
      </c>
      <c r="C109" s="989"/>
      <c r="D109" s="990"/>
      <c r="E109" s="990">
        <v>1528</v>
      </c>
      <c r="F109" s="990"/>
      <c r="G109" s="990">
        <v>408</v>
      </c>
      <c r="H109" s="990"/>
      <c r="I109" s="990"/>
      <c r="J109" s="990"/>
      <c r="K109" s="990"/>
      <c r="L109" s="990"/>
      <c r="M109" s="990"/>
      <c r="N109" s="990"/>
      <c r="O109" s="990"/>
      <c r="P109" s="990">
        <v>4617</v>
      </c>
      <c r="Q109" s="990">
        <v>1936</v>
      </c>
      <c r="R109" s="991">
        <v>6553</v>
      </c>
      <c r="S109" s="1201"/>
      <c r="T109" s="992" t="s">
        <v>1032</v>
      </c>
      <c r="U109" s="989"/>
      <c r="V109" s="990"/>
      <c r="W109" s="990"/>
      <c r="X109" s="990">
        <v>6556</v>
      </c>
      <c r="Y109" s="990">
        <v>3506</v>
      </c>
      <c r="Z109" s="990"/>
      <c r="AA109" s="990"/>
      <c r="AB109" s="990"/>
      <c r="AC109" s="990"/>
      <c r="AD109" s="990">
        <v>6556</v>
      </c>
    </row>
    <row r="110" spans="1:30" ht="19.5" customHeight="1">
      <c r="A110" s="1202" t="s">
        <v>1040</v>
      </c>
      <c r="B110" s="1198" t="s">
        <v>1307</v>
      </c>
      <c r="C110" s="989" t="s">
        <v>4</v>
      </c>
      <c r="D110" s="990">
        <v>366</v>
      </c>
      <c r="E110" s="990">
        <v>0</v>
      </c>
      <c r="F110" s="990"/>
      <c r="G110" s="990">
        <v>10018</v>
      </c>
      <c r="H110" s="990">
        <v>0</v>
      </c>
      <c r="I110" s="990">
        <v>0</v>
      </c>
      <c r="J110" s="990">
        <v>0</v>
      </c>
      <c r="K110" s="990">
        <v>0</v>
      </c>
      <c r="L110" s="990"/>
      <c r="M110" s="990">
        <v>0</v>
      </c>
      <c r="N110" s="990">
        <v>0</v>
      </c>
      <c r="O110" s="990">
        <v>0</v>
      </c>
      <c r="P110" s="990">
        <v>28308</v>
      </c>
      <c r="Q110" s="990">
        <v>10384</v>
      </c>
      <c r="R110" s="991">
        <v>38692</v>
      </c>
      <c r="S110" s="1196" t="s">
        <v>1040</v>
      </c>
      <c r="T110" s="1198" t="s">
        <v>1307</v>
      </c>
      <c r="U110" s="989" t="s">
        <v>4</v>
      </c>
      <c r="V110" s="990">
        <v>18984</v>
      </c>
      <c r="W110" s="990">
        <v>4996</v>
      </c>
      <c r="X110" s="990">
        <v>14712</v>
      </c>
      <c r="Y110" s="990">
        <v>0</v>
      </c>
      <c r="Z110" s="990">
        <v>0</v>
      </c>
      <c r="AA110" s="990">
        <v>0</v>
      </c>
      <c r="AB110" s="990">
        <v>0</v>
      </c>
      <c r="AC110" s="990">
        <v>0</v>
      </c>
      <c r="AD110" s="990">
        <v>38692</v>
      </c>
    </row>
    <row r="111" spans="1:30" ht="19.5" customHeight="1">
      <c r="A111" s="1202"/>
      <c r="B111" s="1198"/>
      <c r="C111" s="989" t="s">
        <v>1372</v>
      </c>
      <c r="D111" s="990">
        <v>366</v>
      </c>
      <c r="E111" s="990">
        <v>0</v>
      </c>
      <c r="F111" s="990">
        <v>42</v>
      </c>
      <c r="G111" s="990">
        <v>10018</v>
      </c>
      <c r="H111" s="990">
        <v>0</v>
      </c>
      <c r="I111" s="990">
        <v>0</v>
      </c>
      <c r="J111" s="990">
        <v>0</v>
      </c>
      <c r="K111" s="990">
        <v>0</v>
      </c>
      <c r="L111" s="990"/>
      <c r="M111" s="990">
        <v>0</v>
      </c>
      <c r="N111" s="990">
        <v>1630</v>
      </c>
      <c r="O111" s="990">
        <v>0</v>
      </c>
      <c r="P111" s="990">
        <v>31026</v>
      </c>
      <c r="Q111" s="990">
        <v>12056</v>
      </c>
      <c r="R111" s="991">
        <v>43082</v>
      </c>
      <c r="S111" s="1196"/>
      <c r="T111" s="1198"/>
      <c r="U111" s="989" t="s">
        <v>1372</v>
      </c>
      <c r="V111" s="990">
        <v>22131</v>
      </c>
      <c r="W111" s="990">
        <v>5837</v>
      </c>
      <c r="X111" s="990">
        <v>14664</v>
      </c>
      <c r="Y111" s="990">
        <v>0</v>
      </c>
      <c r="Z111" s="990">
        <v>0</v>
      </c>
      <c r="AA111" s="990">
        <v>250</v>
      </c>
      <c r="AB111" s="990">
        <v>200</v>
      </c>
      <c r="AC111" s="990">
        <v>0</v>
      </c>
      <c r="AD111" s="990">
        <v>43082</v>
      </c>
    </row>
    <row r="112" spans="1:30" ht="19.5" customHeight="1">
      <c r="A112" s="1202"/>
      <c r="B112" s="1198"/>
      <c r="C112" s="989" t="s">
        <v>1373</v>
      </c>
      <c r="D112" s="990">
        <v>366</v>
      </c>
      <c r="E112" s="990">
        <v>0</v>
      </c>
      <c r="F112" s="990">
        <v>42</v>
      </c>
      <c r="G112" s="990">
        <v>11575</v>
      </c>
      <c r="H112" s="990">
        <v>0</v>
      </c>
      <c r="I112" s="990">
        <v>0</v>
      </c>
      <c r="J112" s="990">
        <v>0</v>
      </c>
      <c r="K112" s="990">
        <v>0</v>
      </c>
      <c r="L112" s="990"/>
      <c r="M112" s="990">
        <v>0</v>
      </c>
      <c r="N112" s="990">
        <v>1380</v>
      </c>
      <c r="O112" s="990">
        <v>0</v>
      </c>
      <c r="P112" s="990">
        <v>31223</v>
      </c>
      <c r="Q112" s="990">
        <v>13363</v>
      </c>
      <c r="R112" s="991">
        <v>44586</v>
      </c>
      <c r="S112" s="1196"/>
      <c r="T112" s="1198"/>
      <c r="U112" s="989" t="s">
        <v>1373</v>
      </c>
      <c r="V112" s="990">
        <v>22286</v>
      </c>
      <c r="W112" s="990">
        <v>5879</v>
      </c>
      <c r="X112" s="990">
        <v>15823</v>
      </c>
      <c r="Y112" s="990">
        <v>0</v>
      </c>
      <c r="Z112" s="990">
        <v>0</v>
      </c>
      <c r="AA112" s="990">
        <v>0</v>
      </c>
      <c r="AB112" s="990">
        <v>598</v>
      </c>
      <c r="AC112" s="990">
        <v>0</v>
      </c>
      <c r="AD112" s="990">
        <v>44586</v>
      </c>
    </row>
    <row r="113" spans="1:30" ht="19.5" customHeight="1">
      <c r="A113" s="1202"/>
      <c r="B113" s="1198"/>
      <c r="C113" s="989" t="s">
        <v>1374</v>
      </c>
      <c r="D113" s="990">
        <v>366</v>
      </c>
      <c r="E113" s="990">
        <v>0</v>
      </c>
      <c r="F113" s="990">
        <v>42</v>
      </c>
      <c r="G113" s="990">
        <v>11575</v>
      </c>
      <c r="H113" s="990">
        <v>0</v>
      </c>
      <c r="I113" s="990">
        <v>0</v>
      </c>
      <c r="J113" s="990">
        <v>0</v>
      </c>
      <c r="K113" s="990">
        <v>0</v>
      </c>
      <c r="L113" s="990"/>
      <c r="M113" s="990">
        <v>0</v>
      </c>
      <c r="N113" s="990">
        <v>1380</v>
      </c>
      <c r="O113" s="990">
        <v>0</v>
      </c>
      <c r="P113" s="990">
        <v>31378</v>
      </c>
      <c r="Q113" s="990">
        <v>13363</v>
      </c>
      <c r="R113" s="991">
        <v>44741</v>
      </c>
      <c r="S113" s="1196"/>
      <c r="T113" s="1198"/>
      <c r="U113" s="989" t="s">
        <v>1374</v>
      </c>
      <c r="V113" s="990">
        <v>22420</v>
      </c>
      <c r="W113" s="990">
        <v>5932</v>
      </c>
      <c r="X113" s="990">
        <v>15281</v>
      </c>
      <c r="Y113" s="990">
        <v>0</v>
      </c>
      <c r="Z113" s="990">
        <v>0</v>
      </c>
      <c r="AA113" s="990">
        <v>0</v>
      </c>
      <c r="AB113" s="990">
        <v>1108</v>
      </c>
      <c r="AC113" s="990">
        <v>0</v>
      </c>
      <c r="AD113" s="990">
        <v>44741</v>
      </c>
    </row>
    <row r="114" spans="1:30" ht="19.5" customHeight="1">
      <c r="A114" s="1202"/>
      <c r="B114" s="1198"/>
      <c r="C114" s="989" t="s">
        <v>1375</v>
      </c>
      <c r="D114" s="990">
        <v>429</v>
      </c>
      <c r="E114" s="990">
        <v>0</v>
      </c>
      <c r="F114" s="990">
        <v>42</v>
      </c>
      <c r="G114" s="990">
        <v>15199</v>
      </c>
      <c r="H114" s="990">
        <v>0</v>
      </c>
      <c r="I114" s="990">
        <v>0</v>
      </c>
      <c r="J114" s="990">
        <v>0</v>
      </c>
      <c r="K114" s="990">
        <v>0</v>
      </c>
      <c r="L114" s="990"/>
      <c r="M114" s="990">
        <v>0</v>
      </c>
      <c r="N114" s="990">
        <v>1380</v>
      </c>
      <c r="O114" s="990">
        <v>0</v>
      </c>
      <c r="P114" s="990">
        <v>23869</v>
      </c>
      <c r="Q114" s="990">
        <v>17050</v>
      </c>
      <c r="R114" s="991">
        <v>40919</v>
      </c>
      <c r="S114" s="1196"/>
      <c r="T114" s="1198"/>
      <c r="U114" s="989" t="s">
        <v>1375</v>
      </c>
      <c r="V114" s="990">
        <v>22398</v>
      </c>
      <c r="W114" s="990">
        <v>6002</v>
      </c>
      <c r="X114" s="990">
        <v>11348</v>
      </c>
      <c r="Y114" s="990">
        <v>0</v>
      </c>
      <c r="Z114" s="990">
        <v>0</v>
      </c>
      <c r="AA114" s="990">
        <v>0</v>
      </c>
      <c r="AB114" s="990">
        <v>1171</v>
      </c>
      <c r="AC114" s="990">
        <v>0</v>
      </c>
      <c r="AD114" s="990">
        <v>40919</v>
      </c>
    </row>
    <row r="115" spans="1:30" ht="19.5" customHeight="1">
      <c r="A115" s="1202"/>
      <c r="B115" s="992" t="s">
        <v>1032</v>
      </c>
      <c r="C115" s="989"/>
      <c r="D115" s="990">
        <v>429</v>
      </c>
      <c r="E115" s="990"/>
      <c r="F115" s="990">
        <v>20</v>
      </c>
      <c r="G115" s="990">
        <v>15199</v>
      </c>
      <c r="H115" s="990"/>
      <c r="I115" s="990"/>
      <c r="J115" s="990"/>
      <c r="K115" s="990"/>
      <c r="L115" s="990"/>
      <c r="M115" s="990"/>
      <c r="N115" s="990">
        <v>1380</v>
      </c>
      <c r="O115" s="990"/>
      <c r="P115" s="990">
        <v>23856</v>
      </c>
      <c r="Q115" s="990">
        <v>17028</v>
      </c>
      <c r="R115" s="991">
        <v>40884</v>
      </c>
      <c r="S115" s="1196"/>
      <c r="T115" s="1089"/>
      <c r="U115" s="992" t="s">
        <v>1032</v>
      </c>
      <c r="V115" s="990">
        <v>22053</v>
      </c>
      <c r="W115" s="990">
        <v>5991</v>
      </c>
      <c r="X115" s="990">
        <v>10193</v>
      </c>
      <c r="Y115" s="990"/>
      <c r="Z115" s="990"/>
      <c r="AA115" s="990"/>
      <c r="AB115" s="990">
        <v>1147</v>
      </c>
      <c r="AC115" s="990"/>
      <c r="AD115" s="990">
        <v>39384</v>
      </c>
    </row>
    <row r="116" spans="1:30" ht="19.5" customHeight="1">
      <c r="A116" s="1198" t="s">
        <v>1308</v>
      </c>
      <c r="B116" s="992"/>
      <c r="C116" s="989" t="s">
        <v>4</v>
      </c>
      <c r="D116" s="990">
        <v>13047</v>
      </c>
      <c r="E116" s="990">
        <v>54603</v>
      </c>
      <c r="F116" s="990"/>
      <c r="G116" s="990">
        <v>26735</v>
      </c>
      <c r="H116" s="990">
        <v>0</v>
      </c>
      <c r="I116" s="990">
        <v>0</v>
      </c>
      <c r="J116" s="990">
        <v>0</v>
      </c>
      <c r="K116" s="990">
        <v>0</v>
      </c>
      <c r="L116" s="990"/>
      <c r="M116" s="990">
        <v>0</v>
      </c>
      <c r="N116" s="990">
        <v>0</v>
      </c>
      <c r="O116" s="990">
        <v>0</v>
      </c>
      <c r="P116" s="990">
        <v>282244</v>
      </c>
      <c r="Q116" s="990">
        <v>94385</v>
      </c>
      <c r="R116" s="991">
        <v>376629</v>
      </c>
      <c r="S116" s="1196" t="s">
        <v>1308</v>
      </c>
      <c r="T116" s="992"/>
      <c r="U116" s="989" t="s">
        <v>4</v>
      </c>
      <c r="V116" s="990">
        <v>18984</v>
      </c>
      <c r="W116" s="990">
        <v>4996</v>
      </c>
      <c r="X116" s="990">
        <v>343179</v>
      </c>
      <c r="Y116" s="990">
        <v>164448</v>
      </c>
      <c r="Z116" s="990">
        <v>0</v>
      </c>
      <c r="AA116" s="990"/>
      <c r="AB116" s="990">
        <v>1000</v>
      </c>
      <c r="AC116" s="990">
        <v>8470</v>
      </c>
      <c r="AD116" s="990">
        <v>376629</v>
      </c>
    </row>
    <row r="117" spans="1:30" ht="19.5" customHeight="1">
      <c r="A117" s="1198"/>
      <c r="B117" s="992"/>
      <c r="C117" s="989" t="s">
        <v>1372</v>
      </c>
      <c r="D117" s="990">
        <v>13047</v>
      </c>
      <c r="E117" s="990">
        <v>54603</v>
      </c>
      <c r="F117" s="990"/>
      <c r="G117" s="990">
        <v>26735</v>
      </c>
      <c r="H117" s="990">
        <v>0</v>
      </c>
      <c r="I117" s="990">
        <v>0</v>
      </c>
      <c r="J117" s="990">
        <v>0</v>
      </c>
      <c r="K117" s="990">
        <v>0</v>
      </c>
      <c r="L117" s="990"/>
      <c r="M117" s="990">
        <v>0</v>
      </c>
      <c r="N117" s="990">
        <v>1630</v>
      </c>
      <c r="O117" s="990">
        <v>0</v>
      </c>
      <c r="P117" s="990">
        <v>284962</v>
      </c>
      <c r="Q117" s="990">
        <v>96057</v>
      </c>
      <c r="R117" s="990">
        <v>381019</v>
      </c>
      <c r="S117" s="1196"/>
      <c r="T117" s="992"/>
      <c r="U117" s="989" t="s">
        <v>1372</v>
      </c>
      <c r="V117" s="990">
        <v>22131</v>
      </c>
      <c r="W117" s="990">
        <v>5837</v>
      </c>
      <c r="X117" s="990">
        <v>342677</v>
      </c>
      <c r="Y117" s="990">
        <v>164448</v>
      </c>
      <c r="Z117" s="990">
        <v>0</v>
      </c>
      <c r="AA117" s="990">
        <v>250</v>
      </c>
      <c r="AB117" s="990">
        <v>1654</v>
      </c>
      <c r="AC117" s="990">
        <v>8470</v>
      </c>
      <c r="AD117" s="990">
        <v>381019</v>
      </c>
    </row>
    <row r="118" spans="1:30" ht="19.5" customHeight="1">
      <c r="A118" s="1198"/>
      <c r="B118" s="992"/>
      <c r="C118" s="989" t="s">
        <v>1373</v>
      </c>
      <c r="D118" s="990">
        <v>13047</v>
      </c>
      <c r="E118" s="990">
        <v>56402</v>
      </c>
      <c r="F118" s="990">
        <v>42</v>
      </c>
      <c r="G118" s="990">
        <v>28778</v>
      </c>
      <c r="H118" s="990">
        <v>0</v>
      </c>
      <c r="I118" s="990">
        <v>0</v>
      </c>
      <c r="J118" s="990">
        <v>0</v>
      </c>
      <c r="K118" s="990">
        <v>0</v>
      </c>
      <c r="L118" s="990">
        <v>0</v>
      </c>
      <c r="M118" s="990">
        <v>0</v>
      </c>
      <c r="N118" s="990">
        <v>1380</v>
      </c>
      <c r="O118" s="990">
        <v>0</v>
      </c>
      <c r="P118" s="990">
        <v>288219</v>
      </c>
      <c r="Q118" s="990">
        <v>99649</v>
      </c>
      <c r="R118" s="990">
        <v>387868</v>
      </c>
      <c r="S118" s="1196"/>
      <c r="T118" s="992"/>
      <c r="U118" s="989" t="s">
        <v>1373</v>
      </c>
      <c r="V118" s="990">
        <v>22286</v>
      </c>
      <c r="W118" s="990">
        <v>5879</v>
      </c>
      <c r="X118" s="990">
        <v>347947</v>
      </c>
      <c r="Y118" s="990">
        <v>167721</v>
      </c>
      <c r="Z118" s="990">
        <v>0</v>
      </c>
      <c r="AA118" s="990">
        <v>0</v>
      </c>
      <c r="AB118" s="990">
        <v>3286</v>
      </c>
      <c r="AC118" s="990">
        <v>8470</v>
      </c>
      <c r="AD118" s="990">
        <v>387868</v>
      </c>
    </row>
    <row r="119" spans="1:30" ht="19.5" customHeight="1">
      <c r="A119" s="1198"/>
      <c r="B119" s="992"/>
      <c r="C119" s="989" t="s">
        <v>1374</v>
      </c>
      <c r="D119" s="990">
        <v>13047</v>
      </c>
      <c r="E119" s="990">
        <v>56402</v>
      </c>
      <c r="F119" s="990">
        <v>42</v>
      </c>
      <c r="G119" s="990">
        <v>28778</v>
      </c>
      <c r="H119" s="990">
        <v>0</v>
      </c>
      <c r="I119" s="990">
        <v>0</v>
      </c>
      <c r="J119" s="990">
        <v>0</v>
      </c>
      <c r="K119" s="990">
        <v>0</v>
      </c>
      <c r="L119" s="990">
        <v>0</v>
      </c>
      <c r="M119" s="990">
        <v>0</v>
      </c>
      <c r="N119" s="990">
        <v>1380</v>
      </c>
      <c r="O119" s="990">
        <v>0</v>
      </c>
      <c r="P119" s="990">
        <v>290210</v>
      </c>
      <c r="Q119" s="990">
        <v>99649</v>
      </c>
      <c r="R119" s="990">
        <v>389859</v>
      </c>
      <c r="S119" s="1196"/>
      <c r="T119" s="992"/>
      <c r="U119" s="989" t="s">
        <v>1374</v>
      </c>
      <c r="V119" s="990">
        <v>22420</v>
      </c>
      <c r="W119" s="990">
        <v>5932</v>
      </c>
      <c r="X119" s="990">
        <v>349181</v>
      </c>
      <c r="Y119" s="990">
        <v>167721</v>
      </c>
      <c r="Z119" s="990">
        <v>0</v>
      </c>
      <c r="AA119" s="990">
        <v>0</v>
      </c>
      <c r="AB119" s="990">
        <v>6381</v>
      </c>
      <c r="AC119" s="990">
        <v>5945</v>
      </c>
      <c r="AD119" s="990">
        <v>389859</v>
      </c>
    </row>
    <row r="120" spans="1:30" ht="19.5" customHeight="1">
      <c r="A120" s="1198"/>
      <c r="B120" s="992"/>
      <c r="C120" s="989" t="s">
        <v>1375</v>
      </c>
      <c r="D120" s="990">
        <v>11386</v>
      </c>
      <c r="E120" s="990">
        <v>58653</v>
      </c>
      <c r="F120" s="990">
        <v>42</v>
      </c>
      <c r="G120" s="990">
        <v>32864</v>
      </c>
      <c r="H120" s="990">
        <v>0</v>
      </c>
      <c r="I120" s="990">
        <v>0</v>
      </c>
      <c r="J120" s="990">
        <v>0</v>
      </c>
      <c r="K120" s="990">
        <v>0</v>
      </c>
      <c r="L120" s="990">
        <v>0</v>
      </c>
      <c r="M120" s="990">
        <v>0</v>
      </c>
      <c r="N120" s="990">
        <v>1380</v>
      </c>
      <c r="O120" s="990">
        <v>0</v>
      </c>
      <c r="P120" s="990">
        <v>263258</v>
      </c>
      <c r="Q120" s="990">
        <v>104325</v>
      </c>
      <c r="R120" s="990">
        <v>367583</v>
      </c>
      <c r="S120" s="1196"/>
      <c r="T120" s="992"/>
      <c r="U120" s="989" t="s">
        <v>1375</v>
      </c>
      <c r="V120" s="990">
        <v>22398</v>
      </c>
      <c r="W120" s="990">
        <v>6002</v>
      </c>
      <c r="X120" s="990">
        <v>332941</v>
      </c>
      <c r="Y120" s="990">
        <v>167721</v>
      </c>
      <c r="Z120" s="990">
        <v>0</v>
      </c>
      <c r="AA120" s="990">
        <v>0</v>
      </c>
      <c r="AB120" s="990">
        <v>5697</v>
      </c>
      <c r="AC120" s="990">
        <v>545</v>
      </c>
      <c r="AD120" s="990">
        <v>367583</v>
      </c>
    </row>
    <row r="121" spans="1:30" ht="19.5" customHeight="1">
      <c r="A121" s="1198"/>
      <c r="B121" s="992" t="s">
        <v>1032</v>
      </c>
      <c r="C121" s="989"/>
      <c r="D121" s="990">
        <v>10806</v>
      </c>
      <c r="E121" s="990">
        <v>57909</v>
      </c>
      <c r="F121" s="990">
        <v>20</v>
      </c>
      <c r="G121" s="990">
        <v>32700</v>
      </c>
      <c r="H121" s="990">
        <v>0</v>
      </c>
      <c r="I121" s="990">
        <v>0</v>
      </c>
      <c r="J121" s="990">
        <v>0</v>
      </c>
      <c r="K121" s="990">
        <v>0</v>
      </c>
      <c r="L121" s="990">
        <v>0</v>
      </c>
      <c r="M121" s="990">
        <v>0</v>
      </c>
      <c r="N121" s="990">
        <v>1380</v>
      </c>
      <c r="O121" s="990">
        <v>0</v>
      </c>
      <c r="P121" s="990">
        <v>261442</v>
      </c>
      <c r="Q121" s="990">
        <v>102815</v>
      </c>
      <c r="R121" s="990">
        <v>364257</v>
      </c>
      <c r="S121" s="1196"/>
      <c r="T121" s="992"/>
      <c r="U121" s="992" t="s">
        <v>1032</v>
      </c>
      <c r="V121" s="990">
        <v>22053</v>
      </c>
      <c r="W121" s="990">
        <v>5991</v>
      </c>
      <c r="X121" s="990">
        <v>329199</v>
      </c>
      <c r="Y121" s="990">
        <v>168213</v>
      </c>
      <c r="Z121" s="990">
        <v>0</v>
      </c>
      <c r="AA121" s="990">
        <v>0</v>
      </c>
      <c r="AB121" s="990">
        <v>5316</v>
      </c>
      <c r="AC121" s="990">
        <v>199</v>
      </c>
      <c r="AD121" s="990">
        <v>362758</v>
      </c>
    </row>
    <row r="122" spans="1:30" ht="19.5" customHeight="1">
      <c r="A122" s="1198" t="s">
        <v>1309</v>
      </c>
      <c r="B122" s="992" t="s">
        <v>313</v>
      </c>
      <c r="C122" s="989" t="s">
        <v>4</v>
      </c>
      <c r="D122" s="990">
        <v>1230</v>
      </c>
      <c r="E122" s="990">
        <v>0</v>
      </c>
      <c r="F122" s="990"/>
      <c r="G122" s="990">
        <v>332</v>
      </c>
      <c r="H122" s="990">
        <v>0</v>
      </c>
      <c r="I122" s="990">
        <v>0</v>
      </c>
      <c r="J122" s="990">
        <v>0</v>
      </c>
      <c r="K122" s="990">
        <v>0</v>
      </c>
      <c r="L122" s="990"/>
      <c r="M122" s="990">
        <v>0</v>
      </c>
      <c r="N122" s="990">
        <v>0</v>
      </c>
      <c r="O122" s="990">
        <v>0</v>
      </c>
      <c r="P122" s="990">
        <v>40271</v>
      </c>
      <c r="Q122" s="990">
        <v>1562</v>
      </c>
      <c r="R122" s="991">
        <v>41833</v>
      </c>
      <c r="S122" s="1196" t="s">
        <v>1309</v>
      </c>
      <c r="T122" s="992" t="s">
        <v>313</v>
      </c>
      <c r="U122" s="989" t="s">
        <v>4</v>
      </c>
      <c r="V122" s="990">
        <v>20534</v>
      </c>
      <c r="W122" s="990">
        <v>5287</v>
      </c>
      <c r="X122" s="990">
        <v>16012</v>
      </c>
      <c r="Y122" s="990">
        <v>0</v>
      </c>
      <c r="Z122" s="990">
        <v>0</v>
      </c>
      <c r="AA122" s="990">
        <v>0</v>
      </c>
      <c r="AB122" s="990">
        <v>0</v>
      </c>
      <c r="AC122" s="990">
        <v>0</v>
      </c>
      <c r="AD122" s="990">
        <v>41833</v>
      </c>
    </row>
    <row r="123" spans="1:30" ht="19.5" customHeight="1">
      <c r="A123" s="1198"/>
      <c r="B123" s="992" t="s">
        <v>313</v>
      </c>
      <c r="C123" s="989" t="s">
        <v>1372</v>
      </c>
      <c r="D123" s="990">
        <v>1230</v>
      </c>
      <c r="E123" s="990">
        <v>0</v>
      </c>
      <c r="F123" s="990"/>
      <c r="G123" s="990">
        <v>332</v>
      </c>
      <c r="H123" s="990">
        <v>0</v>
      </c>
      <c r="I123" s="990">
        <v>0</v>
      </c>
      <c r="J123" s="990">
        <v>0</v>
      </c>
      <c r="K123" s="990">
        <v>0</v>
      </c>
      <c r="L123" s="990"/>
      <c r="M123" s="990">
        <v>0</v>
      </c>
      <c r="N123" s="990">
        <v>49</v>
      </c>
      <c r="O123" s="990">
        <v>0</v>
      </c>
      <c r="P123" s="990">
        <v>42752</v>
      </c>
      <c r="Q123" s="990">
        <v>1611</v>
      </c>
      <c r="R123" s="991">
        <v>44363</v>
      </c>
      <c r="S123" s="1196"/>
      <c r="T123" s="992" t="s">
        <v>313</v>
      </c>
      <c r="U123" s="989" t="s">
        <v>1372</v>
      </c>
      <c r="V123" s="990">
        <v>20724</v>
      </c>
      <c r="W123" s="990">
        <v>5328</v>
      </c>
      <c r="X123" s="990">
        <v>17666</v>
      </c>
      <c r="Y123" s="990">
        <v>0</v>
      </c>
      <c r="Z123" s="990">
        <v>0</v>
      </c>
      <c r="AA123" s="990">
        <v>0</v>
      </c>
      <c r="AB123" s="990">
        <v>645</v>
      </c>
      <c r="AC123" s="990">
        <v>0</v>
      </c>
      <c r="AD123" s="990">
        <v>44363</v>
      </c>
    </row>
    <row r="124" spans="1:30" ht="19.5" customHeight="1">
      <c r="A124" s="1198"/>
      <c r="B124" s="992" t="s">
        <v>313</v>
      </c>
      <c r="C124" s="989" t="s">
        <v>1373</v>
      </c>
      <c r="D124" s="990">
        <v>1230</v>
      </c>
      <c r="E124" s="990">
        <v>0</v>
      </c>
      <c r="F124" s="990"/>
      <c r="G124" s="990">
        <v>332</v>
      </c>
      <c r="H124" s="990">
        <v>0</v>
      </c>
      <c r="I124" s="990">
        <v>0</v>
      </c>
      <c r="J124" s="990">
        <v>0</v>
      </c>
      <c r="K124" s="990">
        <v>0</v>
      </c>
      <c r="L124" s="990"/>
      <c r="M124" s="990">
        <v>0</v>
      </c>
      <c r="N124" s="990">
        <v>49</v>
      </c>
      <c r="O124" s="990">
        <v>0</v>
      </c>
      <c r="P124" s="990">
        <v>43006</v>
      </c>
      <c r="Q124" s="990">
        <v>1611</v>
      </c>
      <c r="R124" s="991">
        <v>44617</v>
      </c>
      <c r="S124" s="1196"/>
      <c r="T124" s="992" t="s">
        <v>313</v>
      </c>
      <c r="U124" s="989" t="s">
        <v>1373</v>
      </c>
      <c r="V124" s="990">
        <v>20924</v>
      </c>
      <c r="W124" s="990">
        <v>5382</v>
      </c>
      <c r="X124" s="990">
        <v>17666</v>
      </c>
      <c r="Y124" s="990">
        <v>0</v>
      </c>
      <c r="Z124" s="990">
        <v>0</v>
      </c>
      <c r="AA124" s="990">
        <v>0</v>
      </c>
      <c r="AB124" s="990">
        <v>645</v>
      </c>
      <c r="AC124" s="990">
        <v>0</v>
      </c>
      <c r="AD124" s="990">
        <v>44617</v>
      </c>
    </row>
    <row r="125" spans="1:30" ht="19.5" customHeight="1">
      <c r="A125" s="1198"/>
      <c r="B125" s="992" t="s">
        <v>313</v>
      </c>
      <c r="C125" s="989" t="s">
        <v>1374</v>
      </c>
      <c r="D125" s="990">
        <v>1230</v>
      </c>
      <c r="E125" s="990">
        <v>0</v>
      </c>
      <c r="F125" s="990"/>
      <c r="G125" s="990">
        <v>332</v>
      </c>
      <c r="H125" s="990">
        <v>57</v>
      </c>
      <c r="I125" s="990">
        <v>0</v>
      </c>
      <c r="J125" s="990">
        <v>0</v>
      </c>
      <c r="K125" s="990">
        <v>0</v>
      </c>
      <c r="L125" s="990"/>
      <c r="M125" s="990">
        <v>0</v>
      </c>
      <c r="N125" s="990">
        <v>49</v>
      </c>
      <c r="O125" s="990">
        <v>0</v>
      </c>
      <c r="P125" s="990">
        <v>43234</v>
      </c>
      <c r="Q125" s="990">
        <v>1668</v>
      </c>
      <c r="R125" s="991">
        <v>44902</v>
      </c>
      <c r="S125" s="1196"/>
      <c r="T125" s="992" t="s">
        <v>313</v>
      </c>
      <c r="U125" s="989" t="s">
        <v>1374</v>
      </c>
      <c r="V125" s="990">
        <v>21095</v>
      </c>
      <c r="W125" s="990">
        <v>5439</v>
      </c>
      <c r="X125" s="990">
        <v>17723</v>
      </c>
      <c r="Y125" s="990">
        <v>0</v>
      </c>
      <c r="Z125" s="990">
        <v>0</v>
      </c>
      <c r="AA125" s="990">
        <v>0</v>
      </c>
      <c r="AB125" s="990">
        <v>645</v>
      </c>
      <c r="AC125" s="990">
        <v>0</v>
      </c>
      <c r="AD125" s="990">
        <v>44902</v>
      </c>
    </row>
    <row r="126" spans="1:30" ht="19.5" customHeight="1">
      <c r="A126" s="1198"/>
      <c r="B126" s="992" t="s">
        <v>313</v>
      </c>
      <c r="C126" s="989" t="s">
        <v>1375</v>
      </c>
      <c r="D126" s="990">
        <v>1280</v>
      </c>
      <c r="E126" s="990">
        <v>0</v>
      </c>
      <c r="F126" s="990"/>
      <c r="G126" s="990">
        <v>347</v>
      </c>
      <c r="H126" s="990">
        <v>57</v>
      </c>
      <c r="I126" s="990">
        <v>0</v>
      </c>
      <c r="J126" s="990">
        <v>0</v>
      </c>
      <c r="K126" s="990">
        <v>0</v>
      </c>
      <c r="L126" s="990"/>
      <c r="M126" s="990">
        <v>0</v>
      </c>
      <c r="N126" s="990">
        <v>49</v>
      </c>
      <c r="O126" s="990">
        <v>0</v>
      </c>
      <c r="P126" s="990">
        <v>43608</v>
      </c>
      <c r="Q126" s="990">
        <v>1733</v>
      </c>
      <c r="R126" s="991">
        <v>45341</v>
      </c>
      <c r="S126" s="1196"/>
      <c r="T126" s="992" t="s">
        <v>313</v>
      </c>
      <c r="U126" s="989" t="s">
        <v>1375</v>
      </c>
      <c r="V126" s="990">
        <v>21030</v>
      </c>
      <c r="W126" s="990">
        <v>5568</v>
      </c>
      <c r="X126" s="990">
        <v>17347</v>
      </c>
      <c r="Y126" s="990">
        <v>0</v>
      </c>
      <c r="Z126" s="990">
        <v>0</v>
      </c>
      <c r="AA126" s="990">
        <v>0</v>
      </c>
      <c r="AB126" s="990">
        <v>1396</v>
      </c>
      <c r="AC126" s="990">
        <v>0</v>
      </c>
      <c r="AD126" s="990">
        <v>45341</v>
      </c>
    </row>
    <row r="127" spans="1:30" ht="19.5" customHeight="1">
      <c r="A127" s="1198"/>
      <c r="B127" s="992" t="s">
        <v>1032</v>
      </c>
      <c r="C127" s="989"/>
      <c r="D127" s="990">
        <v>1275</v>
      </c>
      <c r="E127" s="990"/>
      <c r="F127" s="990"/>
      <c r="G127" s="990">
        <v>345</v>
      </c>
      <c r="H127" s="990">
        <v>57</v>
      </c>
      <c r="I127" s="990"/>
      <c r="J127" s="990"/>
      <c r="K127" s="990"/>
      <c r="L127" s="990"/>
      <c r="M127" s="990"/>
      <c r="N127" s="990">
        <v>49</v>
      </c>
      <c r="O127" s="990"/>
      <c r="P127" s="990">
        <v>43608</v>
      </c>
      <c r="Q127" s="990">
        <v>1726</v>
      </c>
      <c r="R127" s="991">
        <v>45334</v>
      </c>
      <c r="S127" s="1196"/>
      <c r="T127" s="992"/>
      <c r="U127" s="992" t="s">
        <v>1032</v>
      </c>
      <c r="V127" s="990">
        <v>20865</v>
      </c>
      <c r="W127" s="990">
        <v>5552</v>
      </c>
      <c r="X127" s="990">
        <v>16192</v>
      </c>
      <c r="Y127" s="990"/>
      <c r="Z127" s="990"/>
      <c r="AA127" s="990"/>
      <c r="AB127" s="990">
        <v>1396</v>
      </c>
      <c r="AC127" s="990">
        <v>0</v>
      </c>
      <c r="AD127" s="990">
        <v>44005</v>
      </c>
    </row>
    <row r="128" spans="1:30" ht="19.5" customHeight="1">
      <c r="A128" s="1195" t="s">
        <v>1310</v>
      </c>
      <c r="B128" s="992" t="s">
        <v>313</v>
      </c>
      <c r="C128" s="993" t="s">
        <v>4</v>
      </c>
      <c r="D128" s="990">
        <v>0</v>
      </c>
      <c r="E128" s="990">
        <v>0</v>
      </c>
      <c r="F128" s="990"/>
      <c r="G128" s="990">
        <v>0</v>
      </c>
      <c r="H128" s="990">
        <v>0</v>
      </c>
      <c r="I128" s="990">
        <v>110310</v>
      </c>
      <c r="J128" s="990">
        <v>0</v>
      </c>
      <c r="K128" s="990">
        <v>0</v>
      </c>
      <c r="L128" s="990"/>
      <c r="M128" s="990">
        <v>0</v>
      </c>
      <c r="N128" s="990">
        <v>0</v>
      </c>
      <c r="O128" s="990">
        <v>0</v>
      </c>
      <c r="P128" s="990">
        <v>18858</v>
      </c>
      <c r="Q128" s="990">
        <v>110310</v>
      </c>
      <c r="R128" s="991">
        <v>129168</v>
      </c>
      <c r="S128" s="1196" t="s">
        <v>1310</v>
      </c>
      <c r="T128" s="992" t="s">
        <v>313</v>
      </c>
      <c r="U128" s="989" t="s">
        <v>4</v>
      </c>
      <c r="V128" s="990">
        <v>65135</v>
      </c>
      <c r="W128" s="990">
        <v>17419</v>
      </c>
      <c r="X128" s="990">
        <v>40494</v>
      </c>
      <c r="Y128" s="990">
        <v>0</v>
      </c>
      <c r="Z128" s="990">
        <v>0</v>
      </c>
      <c r="AA128" s="990">
        <v>0</v>
      </c>
      <c r="AB128" s="990">
        <v>6120</v>
      </c>
      <c r="AC128" s="990">
        <v>0</v>
      </c>
      <c r="AD128" s="990">
        <v>129168</v>
      </c>
    </row>
    <row r="129" spans="1:30" ht="19.5" customHeight="1">
      <c r="A129" s="1195"/>
      <c r="B129" s="992" t="s">
        <v>313</v>
      </c>
      <c r="C129" s="989" t="s">
        <v>1372</v>
      </c>
      <c r="D129" s="990">
        <v>114</v>
      </c>
      <c r="E129" s="990">
        <v>0</v>
      </c>
      <c r="F129" s="990">
        <v>48</v>
      </c>
      <c r="G129" s="990">
        <v>0</v>
      </c>
      <c r="H129" s="990">
        <v>0</v>
      </c>
      <c r="I129" s="990">
        <v>110310</v>
      </c>
      <c r="J129" s="990">
        <v>0</v>
      </c>
      <c r="K129" s="990">
        <v>0</v>
      </c>
      <c r="L129" s="990"/>
      <c r="M129" s="990">
        <v>0</v>
      </c>
      <c r="N129" s="990">
        <v>3243</v>
      </c>
      <c r="O129" s="990">
        <v>0</v>
      </c>
      <c r="P129" s="990">
        <v>19187</v>
      </c>
      <c r="Q129" s="990">
        <v>113715</v>
      </c>
      <c r="R129" s="991">
        <v>132902</v>
      </c>
      <c r="S129" s="1196"/>
      <c r="T129" s="992" t="s">
        <v>313</v>
      </c>
      <c r="U129" s="989" t="s">
        <v>1372</v>
      </c>
      <c r="V129" s="990">
        <v>66390</v>
      </c>
      <c r="W129" s="990">
        <v>17743</v>
      </c>
      <c r="X129" s="990">
        <v>41045</v>
      </c>
      <c r="Y129" s="990">
        <v>0</v>
      </c>
      <c r="Z129" s="990">
        <v>0</v>
      </c>
      <c r="AA129" s="990">
        <v>1404</v>
      </c>
      <c r="AB129" s="990">
        <v>6320</v>
      </c>
      <c r="AC129" s="990">
        <v>0</v>
      </c>
      <c r="AD129" s="990">
        <v>132902</v>
      </c>
    </row>
    <row r="130" spans="1:30" ht="19.5" customHeight="1">
      <c r="A130" s="1195"/>
      <c r="B130" s="992" t="s">
        <v>313</v>
      </c>
      <c r="C130" s="989" t="s">
        <v>1373</v>
      </c>
      <c r="D130" s="990">
        <v>114</v>
      </c>
      <c r="E130" s="990">
        <v>0</v>
      </c>
      <c r="F130" s="990">
        <v>48</v>
      </c>
      <c r="G130" s="990">
        <v>0</v>
      </c>
      <c r="H130" s="990">
        <v>0</v>
      </c>
      <c r="I130" s="990">
        <v>110310</v>
      </c>
      <c r="J130" s="990">
        <v>0</v>
      </c>
      <c r="K130" s="990">
        <v>0</v>
      </c>
      <c r="L130" s="990"/>
      <c r="M130" s="990">
        <v>0</v>
      </c>
      <c r="N130" s="990">
        <v>3243</v>
      </c>
      <c r="O130" s="990">
        <v>0</v>
      </c>
      <c r="P130" s="990">
        <v>19534</v>
      </c>
      <c r="Q130" s="990">
        <v>113715</v>
      </c>
      <c r="R130" s="991">
        <v>133249</v>
      </c>
      <c r="S130" s="1196"/>
      <c r="T130" s="992" t="s">
        <v>313</v>
      </c>
      <c r="U130" s="989" t="s">
        <v>1373</v>
      </c>
      <c r="V130" s="990">
        <v>64563</v>
      </c>
      <c r="W130" s="990">
        <v>17250</v>
      </c>
      <c r="X130" s="990">
        <v>43712</v>
      </c>
      <c r="Y130" s="990">
        <v>0</v>
      </c>
      <c r="Z130" s="990">
        <v>0</v>
      </c>
      <c r="AA130" s="990">
        <v>1404</v>
      </c>
      <c r="AB130" s="990">
        <v>6320</v>
      </c>
      <c r="AC130" s="990"/>
      <c r="AD130" s="990">
        <v>133249</v>
      </c>
    </row>
    <row r="131" spans="1:30" ht="19.5" customHeight="1">
      <c r="A131" s="1195"/>
      <c r="B131" s="992" t="s">
        <v>313</v>
      </c>
      <c r="C131" s="989" t="s">
        <v>1374</v>
      </c>
      <c r="D131" s="990">
        <v>114</v>
      </c>
      <c r="E131" s="990">
        <v>0</v>
      </c>
      <c r="F131" s="990">
        <v>48</v>
      </c>
      <c r="G131" s="990">
        <v>0</v>
      </c>
      <c r="H131" s="990">
        <v>0</v>
      </c>
      <c r="I131" s="990">
        <v>110310</v>
      </c>
      <c r="J131" s="990"/>
      <c r="K131" s="990">
        <v>6000</v>
      </c>
      <c r="L131" s="990"/>
      <c r="M131" s="990">
        <v>0</v>
      </c>
      <c r="N131" s="990">
        <v>3243</v>
      </c>
      <c r="O131" s="990">
        <v>0</v>
      </c>
      <c r="P131" s="990">
        <v>13801</v>
      </c>
      <c r="Q131" s="990">
        <v>119715</v>
      </c>
      <c r="R131" s="991">
        <v>133516</v>
      </c>
      <c r="S131" s="1196"/>
      <c r="T131" s="992" t="s">
        <v>313</v>
      </c>
      <c r="U131" s="989" t="s">
        <v>1374</v>
      </c>
      <c r="V131" s="990">
        <v>63714</v>
      </c>
      <c r="W131" s="990">
        <v>17035</v>
      </c>
      <c r="X131" s="990">
        <v>45043</v>
      </c>
      <c r="Y131" s="990">
        <v>0</v>
      </c>
      <c r="Z131" s="990">
        <v>0</v>
      </c>
      <c r="AA131" s="990">
        <v>1404</v>
      </c>
      <c r="AB131" s="990">
        <v>6320</v>
      </c>
      <c r="AC131" s="990"/>
      <c r="AD131" s="990">
        <v>133516</v>
      </c>
    </row>
    <row r="132" spans="1:30" ht="19.5" customHeight="1">
      <c r="A132" s="1195"/>
      <c r="B132" s="992" t="s">
        <v>313</v>
      </c>
      <c r="C132" s="989" t="s">
        <v>1375</v>
      </c>
      <c r="D132" s="990">
        <v>187</v>
      </c>
      <c r="E132" s="990">
        <v>0</v>
      </c>
      <c r="F132" s="990">
        <v>48</v>
      </c>
      <c r="G132" s="990">
        <v>0</v>
      </c>
      <c r="H132" s="990">
        <v>0</v>
      </c>
      <c r="I132" s="990">
        <v>110522</v>
      </c>
      <c r="J132" s="990"/>
      <c r="K132" s="990">
        <v>6000</v>
      </c>
      <c r="L132" s="990"/>
      <c r="M132" s="990">
        <v>0</v>
      </c>
      <c r="N132" s="990">
        <v>3243</v>
      </c>
      <c r="O132" s="990">
        <v>0</v>
      </c>
      <c r="P132" s="990">
        <v>12900</v>
      </c>
      <c r="Q132" s="990">
        <v>120000</v>
      </c>
      <c r="R132" s="991">
        <v>132900</v>
      </c>
      <c r="S132" s="1196"/>
      <c r="T132" s="992" t="s">
        <v>313</v>
      </c>
      <c r="U132" s="989" t="s">
        <v>1375</v>
      </c>
      <c r="V132" s="990">
        <v>63774</v>
      </c>
      <c r="W132" s="990">
        <v>17050</v>
      </c>
      <c r="X132" s="990">
        <v>44352</v>
      </c>
      <c r="Y132" s="990">
        <v>0</v>
      </c>
      <c r="Z132" s="990">
        <v>0</v>
      </c>
      <c r="AA132" s="990">
        <v>1404</v>
      </c>
      <c r="AB132" s="990">
        <v>6320</v>
      </c>
      <c r="AC132" s="990"/>
      <c r="AD132" s="990">
        <v>132900</v>
      </c>
    </row>
    <row r="133" spans="1:30" ht="19.5" customHeight="1">
      <c r="A133" s="1195"/>
      <c r="B133" s="992" t="s">
        <v>1032</v>
      </c>
      <c r="C133" s="989"/>
      <c r="D133" s="990">
        <v>187</v>
      </c>
      <c r="E133" s="990"/>
      <c r="F133" s="990">
        <v>27</v>
      </c>
      <c r="G133" s="990"/>
      <c r="H133" s="990"/>
      <c r="I133" s="990">
        <v>110522</v>
      </c>
      <c r="J133" s="990"/>
      <c r="K133" s="990">
        <v>6000</v>
      </c>
      <c r="L133" s="990"/>
      <c r="M133" s="990"/>
      <c r="N133" s="990">
        <v>3243</v>
      </c>
      <c r="O133" s="990"/>
      <c r="P133" s="990">
        <v>11565</v>
      </c>
      <c r="Q133" s="990">
        <v>119979</v>
      </c>
      <c r="R133" s="991">
        <v>131544</v>
      </c>
      <c r="S133" s="1196"/>
      <c r="T133" s="992"/>
      <c r="U133" s="992" t="s">
        <v>1032</v>
      </c>
      <c r="V133" s="990">
        <v>60704</v>
      </c>
      <c r="W133" s="990">
        <v>16247</v>
      </c>
      <c r="X133" s="990">
        <v>43249</v>
      </c>
      <c r="Y133" s="990"/>
      <c r="Z133" s="990"/>
      <c r="AA133" s="990">
        <v>1404</v>
      </c>
      <c r="AB133" s="990">
        <v>6162</v>
      </c>
      <c r="AC133" s="990"/>
      <c r="AD133" s="990">
        <v>127766</v>
      </c>
    </row>
    <row r="134" spans="1:30" ht="19.5" customHeight="1">
      <c r="A134" s="1195" t="s">
        <v>543</v>
      </c>
      <c r="B134" s="992" t="s">
        <v>313</v>
      </c>
      <c r="C134" s="989" t="s">
        <v>4</v>
      </c>
      <c r="D134" s="990"/>
      <c r="E134" s="990"/>
      <c r="F134" s="990"/>
      <c r="G134" s="990"/>
      <c r="H134" s="990"/>
      <c r="I134" s="990"/>
      <c r="J134" s="990"/>
      <c r="K134" s="990"/>
      <c r="L134" s="990"/>
      <c r="M134" s="990"/>
      <c r="N134" s="990"/>
      <c r="O134" s="990"/>
      <c r="P134" s="990"/>
      <c r="Q134" s="990">
        <v>0</v>
      </c>
      <c r="R134" s="991">
        <v>0</v>
      </c>
      <c r="S134" s="1195" t="s">
        <v>543</v>
      </c>
      <c r="T134" s="992" t="s">
        <v>313</v>
      </c>
      <c r="U134" s="989" t="s">
        <v>4</v>
      </c>
      <c r="V134" s="990"/>
      <c r="W134" s="990"/>
      <c r="X134" s="990"/>
      <c r="Y134" s="990"/>
      <c r="Z134" s="990"/>
      <c r="AA134" s="990"/>
      <c r="AB134" s="990"/>
      <c r="AC134" s="990"/>
      <c r="AD134" s="990">
        <v>0</v>
      </c>
    </row>
    <row r="135" spans="1:30" ht="19.5" customHeight="1">
      <c r="A135" s="1195"/>
      <c r="B135" s="992" t="s">
        <v>313</v>
      </c>
      <c r="C135" s="989" t="s">
        <v>1372</v>
      </c>
      <c r="D135" s="990">
        <v>26733</v>
      </c>
      <c r="E135" s="990"/>
      <c r="F135" s="990"/>
      <c r="G135" s="990">
        <v>17978</v>
      </c>
      <c r="H135" s="990"/>
      <c r="I135" s="990">
        <v>11200</v>
      </c>
      <c r="J135" s="990"/>
      <c r="K135" s="990"/>
      <c r="L135" s="990"/>
      <c r="M135" s="990"/>
      <c r="N135" s="990">
        <v>63330</v>
      </c>
      <c r="O135" s="990"/>
      <c r="P135" s="990">
        <v>143461</v>
      </c>
      <c r="Q135" s="990">
        <v>119241</v>
      </c>
      <c r="R135" s="991">
        <v>262702</v>
      </c>
      <c r="S135" s="1195"/>
      <c r="T135" s="992" t="s">
        <v>313</v>
      </c>
      <c r="U135" s="989" t="s">
        <v>1372</v>
      </c>
      <c r="V135" s="990">
        <v>101380</v>
      </c>
      <c r="W135" s="990">
        <v>29007</v>
      </c>
      <c r="X135" s="990">
        <v>103572</v>
      </c>
      <c r="Y135" s="990"/>
      <c r="Z135" s="990"/>
      <c r="AA135" s="990"/>
      <c r="AB135" s="990">
        <v>23743</v>
      </c>
      <c r="AC135" s="990">
        <v>5000</v>
      </c>
      <c r="AD135" s="990">
        <v>262702</v>
      </c>
    </row>
    <row r="136" spans="1:30" ht="19.5" customHeight="1">
      <c r="A136" s="1195"/>
      <c r="B136" s="992" t="s">
        <v>313</v>
      </c>
      <c r="C136" s="989" t="s">
        <v>1373</v>
      </c>
      <c r="D136" s="990">
        <v>26733</v>
      </c>
      <c r="E136" s="990"/>
      <c r="F136" s="990">
        <v>94</v>
      </c>
      <c r="G136" s="990">
        <v>17978</v>
      </c>
      <c r="H136" s="990">
        <v>3249</v>
      </c>
      <c r="I136" s="990">
        <v>11200</v>
      </c>
      <c r="J136" s="990">
        <v>900</v>
      </c>
      <c r="K136" s="990"/>
      <c r="L136" s="990"/>
      <c r="M136" s="990"/>
      <c r="N136" s="990">
        <v>63330</v>
      </c>
      <c r="O136" s="990"/>
      <c r="P136" s="990">
        <v>147324</v>
      </c>
      <c r="Q136" s="990">
        <v>123484</v>
      </c>
      <c r="R136" s="991">
        <v>270808</v>
      </c>
      <c r="S136" s="1195"/>
      <c r="T136" s="992" t="s">
        <v>313</v>
      </c>
      <c r="U136" s="989" t="s">
        <v>1373</v>
      </c>
      <c r="V136" s="990">
        <v>103064</v>
      </c>
      <c r="W136" s="990">
        <v>29435</v>
      </c>
      <c r="X136" s="990">
        <v>105966</v>
      </c>
      <c r="Y136" s="990"/>
      <c r="Z136" s="990"/>
      <c r="AA136" s="990"/>
      <c r="AB136" s="990">
        <v>27343</v>
      </c>
      <c r="AC136" s="990">
        <v>5000</v>
      </c>
      <c r="AD136" s="990">
        <v>270808</v>
      </c>
    </row>
    <row r="137" spans="1:30" ht="19.5" customHeight="1">
      <c r="A137" s="1195"/>
      <c r="B137" s="992" t="s">
        <v>313</v>
      </c>
      <c r="C137" s="989" t="s">
        <v>1374</v>
      </c>
      <c r="D137" s="990">
        <v>26733</v>
      </c>
      <c r="E137" s="990"/>
      <c r="F137" s="990">
        <v>129</v>
      </c>
      <c r="G137" s="990">
        <v>17978</v>
      </c>
      <c r="H137" s="990">
        <v>4800</v>
      </c>
      <c r="I137" s="990">
        <v>11200</v>
      </c>
      <c r="J137" s="990">
        <v>900</v>
      </c>
      <c r="K137" s="990"/>
      <c r="L137" s="990"/>
      <c r="M137" s="990"/>
      <c r="N137" s="990">
        <v>63330</v>
      </c>
      <c r="O137" s="990"/>
      <c r="P137" s="990">
        <v>147638</v>
      </c>
      <c r="Q137" s="990">
        <v>125070</v>
      </c>
      <c r="R137" s="991">
        <v>272708</v>
      </c>
      <c r="S137" s="1195"/>
      <c r="T137" s="992" t="s">
        <v>313</v>
      </c>
      <c r="U137" s="989" t="s">
        <v>1374</v>
      </c>
      <c r="V137" s="990">
        <v>104346</v>
      </c>
      <c r="W137" s="990">
        <v>29789</v>
      </c>
      <c r="X137" s="990">
        <v>73430</v>
      </c>
      <c r="Y137" s="990"/>
      <c r="Z137" s="990">
        <v>30000</v>
      </c>
      <c r="AA137" s="990"/>
      <c r="AB137" s="990">
        <v>27343</v>
      </c>
      <c r="AC137" s="990">
        <v>7800</v>
      </c>
      <c r="AD137" s="990">
        <v>272708</v>
      </c>
    </row>
    <row r="138" spans="1:30" ht="19.5" customHeight="1">
      <c r="A138" s="1195"/>
      <c r="B138" s="992" t="s">
        <v>313</v>
      </c>
      <c r="C138" s="989" t="s">
        <v>1375</v>
      </c>
      <c r="D138" s="990">
        <v>40637</v>
      </c>
      <c r="E138" s="990"/>
      <c r="F138" s="990">
        <v>129</v>
      </c>
      <c r="G138" s="990">
        <v>15778</v>
      </c>
      <c r="H138" s="990">
        <v>4800</v>
      </c>
      <c r="I138" s="990">
        <v>12260</v>
      </c>
      <c r="J138" s="990">
        <v>900</v>
      </c>
      <c r="K138" s="990"/>
      <c r="L138" s="990"/>
      <c r="M138" s="990"/>
      <c r="N138" s="990">
        <v>63330</v>
      </c>
      <c r="O138" s="990"/>
      <c r="P138" s="990">
        <v>120728</v>
      </c>
      <c r="Q138" s="990">
        <v>137834</v>
      </c>
      <c r="R138" s="991">
        <v>258562</v>
      </c>
      <c r="S138" s="1195"/>
      <c r="T138" s="992" t="s">
        <v>313</v>
      </c>
      <c r="U138" s="989" t="s">
        <v>1375</v>
      </c>
      <c r="V138" s="990">
        <v>89167</v>
      </c>
      <c r="W138" s="990">
        <v>23551</v>
      </c>
      <c r="X138" s="990">
        <v>80701</v>
      </c>
      <c r="Y138" s="990"/>
      <c r="Z138" s="990">
        <v>30000</v>
      </c>
      <c r="AA138" s="990"/>
      <c r="AB138" s="990">
        <v>27343</v>
      </c>
      <c r="AC138" s="990">
        <v>7800</v>
      </c>
      <c r="AD138" s="990">
        <v>258562</v>
      </c>
    </row>
    <row r="139" spans="1:30" ht="19.5" customHeight="1">
      <c r="A139" s="1195"/>
      <c r="B139" s="992" t="s">
        <v>1032</v>
      </c>
      <c r="C139" s="989"/>
      <c r="D139" s="990">
        <v>40637</v>
      </c>
      <c r="E139" s="990"/>
      <c r="F139" s="990">
        <v>112</v>
      </c>
      <c r="G139" s="990">
        <v>15765</v>
      </c>
      <c r="H139" s="990">
        <v>4123</v>
      </c>
      <c r="I139" s="990">
        <v>11022</v>
      </c>
      <c r="J139" s="990">
        <v>900</v>
      </c>
      <c r="K139" s="990"/>
      <c r="L139" s="990"/>
      <c r="M139" s="990"/>
      <c r="N139" s="990">
        <v>63330</v>
      </c>
      <c r="O139" s="990"/>
      <c r="P139" s="990">
        <v>120481</v>
      </c>
      <c r="Q139" s="990">
        <v>135889</v>
      </c>
      <c r="R139" s="991">
        <v>256370</v>
      </c>
      <c r="S139" s="1195"/>
      <c r="T139" s="992"/>
      <c r="U139" s="992" t="s">
        <v>1032</v>
      </c>
      <c r="V139" s="990">
        <v>88604</v>
      </c>
      <c r="W139" s="990">
        <v>23177</v>
      </c>
      <c r="X139" s="990">
        <v>67215</v>
      </c>
      <c r="Y139" s="990"/>
      <c r="Z139" s="990">
        <v>30000</v>
      </c>
      <c r="AA139" s="990"/>
      <c r="AB139" s="990">
        <v>23167</v>
      </c>
      <c r="AC139" s="990">
        <v>7800</v>
      </c>
      <c r="AD139" s="990">
        <v>239963</v>
      </c>
    </row>
    <row r="140" spans="1:30" ht="19.5" customHeight="1">
      <c r="A140" s="1195" t="s">
        <v>1311</v>
      </c>
      <c r="B140" s="1195" t="s">
        <v>1377</v>
      </c>
      <c r="C140" s="993" t="s">
        <v>4</v>
      </c>
      <c r="D140" s="991">
        <v>53055</v>
      </c>
      <c r="E140" s="991">
        <v>92312</v>
      </c>
      <c r="F140" s="991"/>
      <c r="G140" s="991">
        <v>46628</v>
      </c>
      <c r="H140" s="991">
        <v>0</v>
      </c>
      <c r="I140" s="991">
        <v>110310</v>
      </c>
      <c r="J140" s="991">
        <v>900</v>
      </c>
      <c r="K140" s="991">
        <v>0</v>
      </c>
      <c r="L140" s="991"/>
      <c r="M140" s="991">
        <v>0</v>
      </c>
      <c r="N140" s="991">
        <v>0</v>
      </c>
      <c r="O140" s="991">
        <v>0</v>
      </c>
      <c r="P140" s="991">
        <v>852082</v>
      </c>
      <c r="Q140" s="991">
        <v>303205</v>
      </c>
      <c r="R140" s="991">
        <v>1155287</v>
      </c>
      <c r="S140" s="1196" t="s">
        <v>1311</v>
      </c>
      <c r="T140" s="1195" t="s">
        <v>1377</v>
      </c>
      <c r="U140" s="989" t="s">
        <v>4</v>
      </c>
      <c r="V140" s="991">
        <v>453611</v>
      </c>
      <c r="W140" s="991">
        <v>120024</v>
      </c>
      <c r="X140" s="991">
        <v>549085</v>
      </c>
      <c r="Y140" s="991">
        <v>205026</v>
      </c>
      <c r="Z140" s="991">
        <v>0</v>
      </c>
      <c r="AA140" s="991">
        <v>0</v>
      </c>
      <c r="AB140" s="991">
        <v>12903</v>
      </c>
      <c r="AC140" s="991">
        <v>19664</v>
      </c>
      <c r="AD140" s="991">
        <v>1155287</v>
      </c>
    </row>
    <row r="141" spans="1:30" ht="19.5" customHeight="1">
      <c r="A141" s="1195"/>
      <c r="B141" s="1195"/>
      <c r="C141" s="989" t="s">
        <v>1372</v>
      </c>
      <c r="D141" s="991">
        <v>79908</v>
      </c>
      <c r="E141" s="991">
        <v>92312</v>
      </c>
      <c r="F141" s="991">
        <v>90</v>
      </c>
      <c r="G141" s="991">
        <v>64606</v>
      </c>
      <c r="H141" s="991">
        <v>651</v>
      </c>
      <c r="I141" s="991">
        <v>121510</v>
      </c>
      <c r="J141" s="991">
        <v>900</v>
      </c>
      <c r="K141" s="991">
        <v>0</v>
      </c>
      <c r="L141" s="991">
        <v>1965</v>
      </c>
      <c r="M141" s="991">
        <v>0</v>
      </c>
      <c r="N141" s="991">
        <v>68749</v>
      </c>
      <c r="O141" s="991">
        <v>0</v>
      </c>
      <c r="P141" s="991">
        <v>1005817</v>
      </c>
      <c r="Q141" s="991">
        <v>430691</v>
      </c>
      <c r="R141" s="991">
        <v>1436508</v>
      </c>
      <c r="S141" s="1196"/>
      <c r="T141" s="1195"/>
      <c r="U141" s="989" t="s">
        <v>1372</v>
      </c>
      <c r="V141" s="991">
        <v>564739</v>
      </c>
      <c r="W141" s="991">
        <v>151555</v>
      </c>
      <c r="X141" s="991">
        <v>654476</v>
      </c>
      <c r="Y141" s="991">
        <v>205026</v>
      </c>
      <c r="Z141" s="991">
        <v>0</v>
      </c>
      <c r="AA141" s="991">
        <v>1965</v>
      </c>
      <c r="AB141" s="991">
        <v>39909</v>
      </c>
      <c r="AC141" s="991">
        <v>23864</v>
      </c>
      <c r="AD141" s="991">
        <v>1436508</v>
      </c>
    </row>
    <row r="142" spans="1:30" ht="19.5" customHeight="1">
      <c r="A142" s="1195"/>
      <c r="B142" s="1195"/>
      <c r="C142" s="989" t="s">
        <v>1373</v>
      </c>
      <c r="D142" s="991">
        <v>81787</v>
      </c>
      <c r="E142" s="991">
        <v>94111</v>
      </c>
      <c r="F142" s="991">
        <v>184</v>
      </c>
      <c r="G142" s="991">
        <v>66670</v>
      </c>
      <c r="H142" s="991">
        <v>3900</v>
      </c>
      <c r="I142" s="991">
        <v>121510</v>
      </c>
      <c r="J142" s="991">
        <v>1800</v>
      </c>
      <c r="K142" s="991">
        <v>0</v>
      </c>
      <c r="L142" s="991">
        <v>1715</v>
      </c>
      <c r="M142" s="991">
        <v>0</v>
      </c>
      <c r="N142" s="991">
        <v>68749</v>
      </c>
      <c r="O142" s="991">
        <v>0</v>
      </c>
      <c r="P142" s="991">
        <v>1019881</v>
      </c>
      <c r="Q142" s="991">
        <v>440426</v>
      </c>
      <c r="R142" s="991">
        <v>1460307</v>
      </c>
      <c r="S142" s="1196"/>
      <c r="T142" s="1195"/>
      <c r="U142" s="989" t="s">
        <v>1373</v>
      </c>
      <c r="V142" s="991">
        <v>572233</v>
      </c>
      <c r="W142" s="991">
        <v>153553</v>
      </c>
      <c r="X142" s="991">
        <v>668071</v>
      </c>
      <c r="Y142" s="991">
        <v>208299</v>
      </c>
      <c r="Z142" s="991">
        <v>0</v>
      </c>
      <c r="AA142" s="991">
        <v>1715</v>
      </c>
      <c r="AB142" s="991">
        <v>45253</v>
      </c>
      <c r="AC142" s="991">
        <v>19482</v>
      </c>
      <c r="AD142" s="991">
        <v>1460307</v>
      </c>
    </row>
    <row r="143" spans="1:30" ht="19.5" customHeight="1">
      <c r="A143" s="1195"/>
      <c r="B143" s="1195"/>
      <c r="C143" s="989" t="s">
        <v>1374</v>
      </c>
      <c r="D143" s="991">
        <v>82258</v>
      </c>
      <c r="E143" s="991">
        <v>94111</v>
      </c>
      <c r="F143" s="991">
        <v>219</v>
      </c>
      <c r="G143" s="991">
        <v>67111</v>
      </c>
      <c r="H143" s="991">
        <v>5508</v>
      </c>
      <c r="I143" s="991">
        <v>121510</v>
      </c>
      <c r="J143" s="991">
        <v>1800</v>
      </c>
      <c r="K143" s="991">
        <v>6000</v>
      </c>
      <c r="L143" s="991">
        <v>1715</v>
      </c>
      <c r="M143" s="991">
        <v>0</v>
      </c>
      <c r="N143" s="991">
        <v>68749</v>
      </c>
      <c r="O143" s="991">
        <v>0</v>
      </c>
      <c r="P143" s="991">
        <v>1020340</v>
      </c>
      <c r="Q143" s="991">
        <v>448981</v>
      </c>
      <c r="R143" s="991">
        <v>1469321</v>
      </c>
      <c r="S143" s="1196"/>
      <c r="T143" s="1195"/>
      <c r="U143" s="989" t="s">
        <v>1374</v>
      </c>
      <c r="V143" s="991">
        <v>573836</v>
      </c>
      <c r="W143" s="991">
        <v>155104</v>
      </c>
      <c r="X143" s="991">
        <v>641581</v>
      </c>
      <c r="Y143" s="991">
        <v>208299</v>
      </c>
      <c r="Z143" s="991">
        <v>30000</v>
      </c>
      <c r="AA143" s="991">
        <v>1715</v>
      </c>
      <c r="AB143" s="991">
        <v>48228</v>
      </c>
      <c r="AC143" s="991">
        <v>18857</v>
      </c>
      <c r="AD143" s="991">
        <v>1469321</v>
      </c>
    </row>
    <row r="144" spans="1:30" ht="19.5" customHeight="1">
      <c r="A144" s="1195"/>
      <c r="B144" s="1195"/>
      <c r="C144" s="989" t="s">
        <v>1375</v>
      </c>
      <c r="D144" s="991">
        <v>93764</v>
      </c>
      <c r="E144" s="991">
        <v>93662</v>
      </c>
      <c r="F144" s="991">
        <v>219</v>
      </c>
      <c r="G144" s="991">
        <v>66932</v>
      </c>
      <c r="H144" s="991">
        <v>5508</v>
      </c>
      <c r="I144" s="991">
        <v>122782</v>
      </c>
      <c r="J144" s="991">
        <v>1800</v>
      </c>
      <c r="K144" s="991">
        <v>6000</v>
      </c>
      <c r="L144" s="991">
        <v>1715</v>
      </c>
      <c r="M144" s="991">
        <v>0</v>
      </c>
      <c r="N144" s="991">
        <v>68749</v>
      </c>
      <c r="O144" s="991">
        <v>0</v>
      </c>
      <c r="P144" s="991">
        <v>973097</v>
      </c>
      <c r="Q144" s="991">
        <v>461131</v>
      </c>
      <c r="R144" s="991">
        <v>1434228</v>
      </c>
      <c r="S144" s="1196"/>
      <c r="T144" s="994"/>
      <c r="U144" s="989" t="s">
        <v>1375</v>
      </c>
      <c r="V144" s="991">
        <v>558704</v>
      </c>
      <c r="W144" s="991">
        <v>149486</v>
      </c>
      <c r="X144" s="991">
        <v>630983</v>
      </c>
      <c r="Y144" s="991">
        <v>208299</v>
      </c>
      <c r="Z144" s="991">
        <v>30000</v>
      </c>
      <c r="AA144" s="991">
        <v>1715</v>
      </c>
      <c r="AB144" s="991">
        <v>49883</v>
      </c>
      <c r="AC144" s="991">
        <v>13457</v>
      </c>
      <c r="AD144" s="991">
        <v>1434228</v>
      </c>
    </row>
    <row r="145" spans="1:30" ht="19.5" customHeight="1">
      <c r="A145" s="1195"/>
      <c r="B145" s="992" t="s">
        <v>1032</v>
      </c>
      <c r="C145" s="989"/>
      <c r="D145" s="991">
        <v>92675</v>
      </c>
      <c r="E145" s="991">
        <v>92190</v>
      </c>
      <c r="F145" s="991">
        <v>159</v>
      </c>
      <c r="G145" s="991">
        <v>66245</v>
      </c>
      <c r="H145" s="991">
        <v>4831</v>
      </c>
      <c r="I145" s="991">
        <v>121544</v>
      </c>
      <c r="J145" s="991">
        <v>1198</v>
      </c>
      <c r="K145" s="991">
        <v>6000</v>
      </c>
      <c r="L145" s="991">
        <v>1715</v>
      </c>
      <c r="M145" s="991">
        <v>0</v>
      </c>
      <c r="N145" s="991">
        <v>68749</v>
      </c>
      <c r="O145" s="991">
        <v>0</v>
      </c>
      <c r="P145" s="991">
        <v>969315</v>
      </c>
      <c r="Q145" s="991">
        <v>455306</v>
      </c>
      <c r="R145" s="991">
        <v>1424621</v>
      </c>
      <c r="S145" s="1196"/>
      <c r="T145" s="994"/>
      <c r="U145" s="992" t="s">
        <v>1032</v>
      </c>
      <c r="V145" s="991">
        <v>549920</v>
      </c>
      <c r="W145" s="991">
        <v>147568</v>
      </c>
      <c r="X145" s="991">
        <v>594402</v>
      </c>
      <c r="Y145" s="991">
        <v>236277</v>
      </c>
      <c r="Z145" s="991">
        <v>30000</v>
      </c>
      <c r="AA145" s="991">
        <v>1715</v>
      </c>
      <c r="AB145" s="991">
        <v>44496</v>
      </c>
      <c r="AC145" s="991">
        <v>11577</v>
      </c>
      <c r="AD145" s="991">
        <v>1379678</v>
      </c>
    </row>
    <row r="146" spans="1:30" ht="19.5" customHeight="1">
      <c r="A146" s="1197" t="s">
        <v>1312</v>
      </c>
      <c r="B146" s="1199" t="s">
        <v>423</v>
      </c>
      <c r="C146" s="993" t="s">
        <v>4</v>
      </c>
      <c r="D146" s="995">
        <v>52689</v>
      </c>
      <c r="E146" s="995">
        <v>92312</v>
      </c>
      <c r="F146" s="995"/>
      <c r="G146" s="995">
        <v>36610</v>
      </c>
      <c r="H146" s="995">
        <v>0</v>
      </c>
      <c r="I146" s="995">
        <v>110310</v>
      </c>
      <c r="J146" s="995">
        <v>900</v>
      </c>
      <c r="K146" s="995">
        <v>0</v>
      </c>
      <c r="L146" s="995"/>
      <c r="M146" s="995">
        <v>0</v>
      </c>
      <c r="N146" s="995">
        <v>0</v>
      </c>
      <c r="O146" s="995">
        <v>0</v>
      </c>
      <c r="P146" s="995">
        <v>823774</v>
      </c>
      <c r="Q146" s="995">
        <v>292821</v>
      </c>
      <c r="R146" s="995">
        <v>1116595</v>
      </c>
      <c r="S146" s="1196" t="s">
        <v>1312</v>
      </c>
      <c r="T146" s="1200" t="s">
        <v>423</v>
      </c>
      <c r="U146" s="989" t="s">
        <v>4</v>
      </c>
      <c r="V146" s="995">
        <v>434627</v>
      </c>
      <c r="W146" s="995">
        <v>115028</v>
      </c>
      <c r="X146" s="995">
        <v>534373</v>
      </c>
      <c r="Y146" s="995">
        <v>205026</v>
      </c>
      <c r="Z146" s="995">
        <v>0</v>
      </c>
      <c r="AA146" s="995">
        <v>0</v>
      </c>
      <c r="AB146" s="995">
        <v>12903</v>
      </c>
      <c r="AC146" s="995">
        <v>19664</v>
      </c>
      <c r="AD146" s="995">
        <v>1116595</v>
      </c>
    </row>
    <row r="147" spans="1:30" ht="19.5" customHeight="1">
      <c r="A147" s="1197"/>
      <c r="B147" s="1199"/>
      <c r="C147" s="989" t="s">
        <v>1372</v>
      </c>
      <c r="D147" s="995">
        <v>79542</v>
      </c>
      <c r="E147" s="995">
        <v>92312</v>
      </c>
      <c r="F147" s="995">
        <v>48</v>
      </c>
      <c r="G147" s="995">
        <v>54588</v>
      </c>
      <c r="H147" s="995">
        <v>651</v>
      </c>
      <c r="I147" s="995">
        <v>121510</v>
      </c>
      <c r="J147" s="995">
        <v>900</v>
      </c>
      <c r="K147" s="995">
        <v>0</v>
      </c>
      <c r="L147" s="995">
        <v>1965</v>
      </c>
      <c r="M147" s="995">
        <v>0</v>
      </c>
      <c r="N147" s="995">
        <v>67119</v>
      </c>
      <c r="O147" s="995">
        <v>0</v>
      </c>
      <c r="P147" s="995">
        <v>974791</v>
      </c>
      <c r="Q147" s="995">
        <v>418635</v>
      </c>
      <c r="R147" s="995">
        <v>1393426</v>
      </c>
      <c r="S147" s="1196"/>
      <c r="T147" s="1200"/>
      <c r="U147" s="989" t="s">
        <v>1372</v>
      </c>
      <c r="V147" s="995">
        <v>542608</v>
      </c>
      <c r="W147" s="995">
        <v>145718</v>
      </c>
      <c r="X147" s="995">
        <v>639812</v>
      </c>
      <c r="Y147" s="995">
        <v>205026</v>
      </c>
      <c r="Z147" s="995">
        <v>0</v>
      </c>
      <c r="AA147" s="995">
        <v>1715</v>
      </c>
      <c r="AB147" s="995">
        <v>39709</v>
      </c>
      <c r="AC147" s="995">
        <v>23864</v>
      </c>
      <c r="AD147" s="995">
        <v>1393426</v>
      </c>
    </row>
    <row r="148" spans="1:30" ht="19.5" customHeight="1">
      <c r="A148" s="1197"/>
      <c r="B148" s="1199"/>
      <c r="C148" s="989" t="s">
        <v>1373</v>
      </c>
      <c r="D148" s="995">
        <v>81421</v>
      </c>
      <c r="E148" s="995">
        <v>94111</v>
      </c>
      <c r="F148" s="995">
        <v>142</v>
      </c>
      <c r="G148" s="995">
        <v>55095</v>
      </c>
      <c r="H148" s="995">
        <v>3900</v>
      </c>
      <c r="I148" s="995">
        <v>121510</v>
      </c>
      <c r="J148" s="995">
        <v>1800</v>
      </c>
      <c r="K148" s="995">
        <v>0</v>
      </c>
      <c r="L148" s="995">
        <v>1715</v>
      </c>
      <c r="M148" s="995">
        <v>0</v>
      </c>
      <c r="N148" s="995">
        <v>67369</v>
      </c>
      <c r="O148" s="995">
        <v>0</v>
      </c>
      <c r="P148" s="995">
        <v>988658</v>
      </c>
      <c r="Q148" s="995">
        <v>427063</v>
      </c>
      <c r="R148" s="995">
        <v>1415721</v>
      </c>
      <c r="S148" s="1196"/>
      <c r="T148" s="1200"/>
      <c r="U148" s="989" t="s">
        <v>1373</v>
      </c>
      <c r="V148" s="995">
        <v>549947</v>
      </c>
      <c r="W148" s="995">
        <v>147674</v>
      </c>
      <c r="X148" s="995">
        <v>652248</v>
      </c>
      <c r="Y148" s="995">
        <v>208299</v>
      </c>
      <c r="Z148" s="995">
        <v>0</v>
      </c>
      <c r="AA148" s="995">
        <v>1715</v>
      </c>
      <c r="AB148" s="995">
        <v>44655</v>
      </c>
      <c r="AC148" s="995">
        <v>19482</v>
      </c>
      <c r="AD148" s="995">
        <v>1415721</v>
      </c>
    </row>
    <row r="149" spans="1:30" ht="19.5" customHeight="1">
      <c r="A149" s="1197"/>
      <c r="B149" s="1199"/>
      <c r="C149" s="989" t="s">
        <v>1374</v>
      </c>
      <c r="D149" s="995">
        <v>81892</v>
      </c>
      <c r="E149" s="995">
        <v>94111</v>
      </c>
      <c r="F149" s="995">
        <v>177</v>
      </c>
      <c r="G149" s="995">
        <v>55536</v>
      </c>
      <c r="H149" s="995">
        <v>5508</v>
      </c>
      <c r="I149" s="995">
        <v>121510</v>
      </c>
      <c r="J149" s="995">
        <v>1800</v>
      </c>
      <c r="K149" s="995">
        <v>6000</v>
      </c>
      <c r="L149" s="995">
        <v>1715</v>
      </c>
      <c r="M149" s="995">
        <v>0</v>
      </c>
      <c r="N149" s="995">
        <v>67369</v>
      </c>
      <c r="O149" s="995">
        <v>0</v>
      </c>
      <c r="P149" s="995">
        <v>988962</v>
      </c>
      <c r="Q149" s="995">
        <v>435618</v>
      </c>
      <c r="R149" s="995">
        <v>1424580</v>
      </c>
      <c r="S149" s="1196"/>
      <c r="T149" s="1200"/>
      <c r="U149" s="989" t="s">
        <v>1374</v>
      </c>
      <c r="V149" s="995">
        <v>551416</v>
      </c>
      <c r="W149" s="995">
        <v>149172</v>
      </c>
      <c r="X149" s="995">
        <v>626300</v>
      </c>
      <c r="Y149" s="995">
        <v>208299</v>
      </c>
      <c r="Z149" s="995">
        <v>30000</v>
      </c>
      <c r="AA149" s="995">
        <v>1715</v>
      </c>
      <c r="AB149" s="995">
        <v>47120</v>
      </c>
      <c r="AC149" s="995">
        <v>18857</v>
      </c>
      <c r="AD149" s="995">
        <v>1424580</v>
      </c>
    </row>
    <row r="150" spans="1:30" ht="19.5" customHeight="1">
      <c r="A150" s="1197"/>
      <c r="B150" s="1199"/>
      <c r="C150" s="989" t="s">
        <v>1375</v>
      </c>
      <c r="D150" s="995">
        <v>93335</v>
      </c>
      <c r="E150" s="995">
        <v>93662</v>
      </c>
      <c r="F150" s="995">
        <v>177</v>
      </c>
      <c r="G150" s="995">
        <v>51733</v>
      </c>
      <c r="H150" s="995">
        <v>5508</v>
      </c>
      <c r="I150" s="995">
        <v>122782</v>
      </c>
      <c r="J150" s="995">
        <v>1800</v>
      </c>
      <c r="K150" s="995">
        <v>6000</v>
      </c>
      <c r="L150" s="995">
        <v>1715</v>
      </c>
      <c r="M150" s="995">
        <v>0</v>
      </c>
      <c r="N150" s="995">
        <v>67369</v>
      </c>
      <c r="O150" s="995">
        <v>0</v>
      </c>
      <c r="P150" s="995">
        <v>949228</v>
      </c>
      <c r="Q150" s="995">
        <v>444081</v>
      </c>
      <c r="R150" s="995">
        <v>1393309</v>
      </c>
      <c r="S150" s="1196"/>
      <c r="T150" s="1200"/>
      <c r="U150" s="989" t="s">
        <v>1375</v>
      </c>
      <c r="V150" s="995">
        <v>536306</v>
      </c>
      <c r="W150" s="995">
        <v>143484</v>
      </c>
      <c r="X150" s="995">
        <v>619635</v>
      </c>
      <c r="Y150" s="995">
        <v>208299</v>
      </c>
      <c r="Z150" s="995">
        <v>30000</v>
      </c>
      <c r="AA150" s="995">
        <v>1715</v>
      </c>
      <c r="AB150" s="995">
        <v>48712</v>
      </c>
      <c r="AC150" s="995">
        <v>13457</v>
      </c>
      <c r="AD150" s="995">
        <v>1393309</v>
      </c>
    </row>
    <row r="151" spans="1:30" ht="19.5" customHeight="1">
      <c r="A151" s="1197"/>
      <c r="B151" s="992" t="s">
        <v>1032</v>
      </c>
      <c r="C151" s="989"/>
      <c r="D151" s="995">
        <f aca="true" t="shared" si="0" ref="D151:R151">D145-D157</f>
        <v>92246</v>
      </c>
      <c r="E151" s="995">
        <f t="shared" si="0"/>
        <v>92190</v>
      </c>
      <c r="F151" s="995">
        <f t="shared" si="0"/>
        <v>139</v>
      </c>
      <c r="G151" s="995">
        <f t="shared" si="0"/>
        <v>51046</v>
      </c>
      <c r="H151" s="995">
        <f t="shared" si="0"/>
        <v>4831</v>
      </c>
      <c r="I151" s="995">
        <f t="shared" si="0"/>
        <v>121544</v>
      </c>
      <c r="J151" s="995">
        <f t="shared" si="0"/>
        <v>1198</v>
      </c>
      <c r="K151" s="995">
        <f t="shared" si="0"/>
        <v>6000</v>
      </c>
      <c r="L151" s="995">
        <f t="shared" si="0"/>
        <v>1715</v>
      </c>
      <c r="M151" s="995">
        <f t="shared" si="0"/>
        <v>0</v>
      </c>
      <c r="N151" s="995">
        <f t="shared" si="0"/>
        <v>67369</v>
      </c>
      <c r="O151" s="995">
        <f t="shared" si="0"/>
        <v>0</v>
      </c>
      <c r="P151" s="995">
        <f t="shared" si="0"/>
        <v>945459</v>
      </c>
      <c r="Q151" s="995">
        <f t="shared" si="0"/>
        <v>438278</v>
      </c>
      <c r="R151" s="995">
        <f t="shared" si="0"/>
        <v>1383737</v>
      </c>
      <c r="S151" s="1196"/>
      <c r="T151" s="996"/>
      <c r="U151" s="992" t="s">
        <v>1032</v>
      </c>
      <c r="V151" s="995">
        <f aca="true" t="shared" si="1" ref="V151:AD151">V145-V157</f>
        <v>527867</v>
      </c>
      <c r="W151" s="995">
        <f t="shared" si="1"/>
        <v>141577</v>
      </c>
      <c r="X151" s="995">
        <f t="shared" si="1"/>
        <v>584209</v>
      </c>
      <c r="Y151" s="995">
        <f t="shared" si="1"/>
        <v>236277</v>
      </c>
      <c r="Z151" s="995">
        <f t="shared" si="1"/>
        <v>30000</v>
      </c>
      <c r="AA151" s="995">
        <f t="shared" si="1"/>
        <v>1715</v>
      </c>
      <c r="AB151" s="995">
        <f t="shared" si="1"/>
        <v>43349</v>
      </c>
      <c r="AC151" s="995">
        <f t="shared" si="1"/>
        <v>11577</v>
      </c>
      <c r="AD151" s="995">
        <f t="shared" si="1"/>
        <v>1340294</v>
      </c>
    </row>
    <row r="152" spans="1:30" ht="19.5" customHeight="1">
      <c r="A152" s="1197" t="s">
        <v>1313</v>
      </c>
      <c r="B152" s="1198" t="s">
        <v>1307</v>
      </c>
      <c r="C152" s="993" t="s">
        <v>4</v>
      </c>
      <c r="D152" s="995">
        <v>366</v>
      </c>
      <c r="E152" s="995">
        <v>0</v>
      </c>
      <c r="F152" s="995"/>
      <c r="G152" s="995">
        <v>10018</v>
      </c>
      <c r="H152" s="995">
        <v>0</v>
      </c>
      <c r="I152" s="995">
        <v>0</v>
      </c>
      <c r="J152" s="995">
        <v>0</v>
      </c>
      <c r="K152" s="995">
        <v>0</v>
      </c>
      <c r="L152" s="995"/>
      <c r="M152" s="995">
        <v>0</v>
      </c>
      <c r="N152" s="995">
        <v>0</v>
      </c>
      <c r="O152" s="995">
        <v>0</v>
      </c>
      <c r="P152" s="995">
        <v>28308</v>
      </c>
      <c r="Q152" s="995">
        <v>10384</v>
      </c>
      <c r="R152" s="995">
        <v>38692</v>
      </c>
      <c r="S152" s="1196" t="s">
        <v>1313</v>
      </c>
      <c r="T152" s="1198" t="s">
        <v>1307</v>
      </c>
      <c r="U152" s="989" t="s">
        <v>4</v>
      </c>
      <c r="V152" s="995">
        <v>18984</v>
      </c>
      <c r="W152" s="995">
        <v>4996</v>
      </c>
      <c r="X152" s="995">
        <v>14712</v>
      </c>
      <c r="Y152" s="995">
        <v>0</v>
      </c>
      <c r="Z152" s="995">
        <v>0</v>
      </c>
      <c r="AA152" s="995">
        <v>0</v>
      </c>
      <c r="AB152" s="995">
        <v>0</v>
      </c>
      <c r="AC152" s="995">
        <v>0</v>
      </c>
      <c r="AD152" s="995">
        <v>38692</v>
      </c>
    </row>
    <row r="153" spans="1:30" ht="19.5" customHeight="1">
      <c r="A153" s="1197"/>
      <c r="B153" s="1198"/>
      <c r="C153" s="989" t="s">
        <v>1372</v>
      </c>
      <c r="D153" s="995">
        <v>366</v>
      </c>
      <c r="E153" s="995">
        <v>0</v>
      </c>
      <c r="F153" s="995">
        <v>42</v>
      </c>
      <c r="G153" s="995">
        <v>10018</v>
      </c>
      <c r="H153" s="995">
        <v>0</v>
      </c>
      <c r="I153" s="995">
        <v>0</v>
      </c>
      <c r="J153" s="995">
        <v>0</v>
      </c>
      <c r="K153" s="995">
        <v>0</v>
      </c>
      <c r="L153" s="995">
        <v>0</v>
      </c>
      <c r="M153" s="995">
        <v>0</v>
      </c>
      <c r="N153" s="995">
        <v>1630</v>
      </c>
      <c r="O153" s="995">
        <v>0</v>
      </c>
      <c r="P153" s="995">
        <v>31026</v>
      </c>
      <c r="Q153" s="995">
        <v>12056</v>
      </c>
      <c r="R153" s="995">
        <v>43082</v>
      </c>
      <c r="S153" s="1196"/>
      <c r="T153" s="1198"/>
      <c r="U153" s="989" t="s">
        <v>1372</v>
      </c>
      <c r="V153" s="995">
        <v>22131</v>
      </c>
      <c r="W153" s="995">
        <v>5837</v>
      </c>
      <c r="X153" s="995">
        <v>14664</v>
      </c>
      <c r="Y153" s="995">
        <v>0</v>
      </c>
      <c r="Z153" s="995">
        <v>0</v>
      </c>
      <c r="AA153" s="995">
        <v>250</v>
      </c>
      <c r="AB153" s="995">
        <v>200</v>
      </c>
      <c r="AC153" s="995">
        <v>0</v>
      </c>
      <c r="AD153" s="995">
        <v>43082</v>
      </c>
    </row>
    <row r="154" spans="1:30" ht="19.5" customHeight="1">
      <c r="A154" s="1197"/>
      <c r="B154" s="1198"/>
      <c r="C154" s="989" t="s">
        <v>1373</v>
      </c>
      <c r="D154" s="995">
        <v>366</v>
      </c>
      <c r="E154" s="995">
        <v>0</v>
      </c>
      <c r="F154" s="995">
        <v>42</v>
      </c>
      <c r="G154" s="995">
        <v>11575</v>
      </c>
      <c r="H154" s="995">
        <v>0</v>
      </c>
      <c r="I154" s="995">
        <v>0</v>
      </c>
      <c r="J154" s="995">
        <v>0</v>
      </c>
      <c r="K154" s="995">
        <v>0</v>
      </c>
      <c r="L154" s="995">
        <v>0</v>
      </c>
      <c r="M154" s="995">
        <v>0</v>
      </c>
      <c r="N154" s="995">
        <v>1380</v>
      </c>
      <c r="O154" s="995">
        <v>0</v>
      </c>
      <c r="P154" s="995">
        <v>31223</v>
      </c>
      <c r="Q154" s="995">
        <v>13363</v>
      </c>
      <c r="R154" s="995">
        <v>44586</v>
      </c>
      <c r="S154" s="1196"/>
      <c r="T154" s="1198"/>
      <c r="U154" s="989" t="s">
        <v>1373</v>
      </c>
      <c r="V154" s="995">
        <v>22286</v>
      </c>
      <c r="W154" s="995">
        <v>5879</v>
      </c>
      <c r="X154" s="995">
        <v>15823</v>
      </c>
      <c r="Y154" s="995">
        <v>0</v>
      </c>
      <c r="Z154" s="995">
        <v>0</v>
      </c>
      <c r="AA154" s="995">
        <v>0</v>
      </c>
      <c r="AB154" s="995">
        <v>598</v>
      </c>
      <c r="AC154" s="995">
        <v>0</v>
      </c>
      <c r="AD154" s="995">
        <v>44586</v>
      </c>
    </row>
    <row r="155" spans="1:30" ht="19.5" customHeight="1">
      <c r="A155" s="1197"/>
      <c r="B155" s="1198"/>
      <c r="C155" s="989" t="s">
        <v>1374</v>
      </c>
      <c r="D155" s="995">
        <v>366</v>
      </c>
      <c r="E155" s="995">
        <v>0</v>
      </c>
      <c r="F155" s="995">
        <v>42</v>
      </c>
      <c r="G155" s="995">
        <v>11575</v>
      </c>
      <c r="H155" s="995">
        <v>0</v>
      </c>
      <c r="I155" s="995">
        <v>0</v>
      </c>
      <c r="J155" s="995">
        <v>0</v>
      </c>
      <c r="K155" s="995">
        <v>0</v>
      </c>
      <c r="L155" s="995">
        <v>0</v>
      </c>
      <c r="M155" s="995">
        <v>0</v>
      </c>
      <c r="N155" s="995">
        <v>1380</v>
      </c>
      <c r="O155" s="995">
        <v>0</v>
      </c>
      <c r="P155" s="995">
        <v>31378</v>
      </c>
      <c r="Q155" s="995">
        <v>13363</v>
      </c>
      <c r="R155" s="995">
        <v>44741</v>
      </c>
      <c r="S155" s="1196"/>
      <c r="T155" s="1198"/>
      <c r="U155" s="989" t="s">
        <v>1374</v>
      </c>
      <c r="V155" s="995">
        <v>22420</v>
      </c>
      <c r="W155" s="995">
        <v>5932</v>
      </c>
      <c r="X155" s="995">
        <v>15281</v>
      </c>
      <c r="Y155" s="995">
        <v>0</v>
      </c>
      <c r="Z155" s="995">
        <v>0</v>
      </c>
      <c r="AA155" s="995">
        <v>0</v>
      </c>
      <c r="AB155" s="995">
        <v>1108</v>
      </c>
      <c r="AC155" s="995">
        <v>0</v>
      </c>
      <c r="AD155" s="995">
        <v>44741</v>
      </c>
    </row>
    <row r="156" spans="1:30" ht="19.5" customHeight="1">
      <c r="A156" s="1197"/>
      <c r="B156" s="1198"/>
      <c r="C156" s="989" t="s">
        <v>1375</v>
      </c>
      <c r="D156" s="995">
        <v>429</v>
      </c>
      <c r="E156" s="995">
        <v>0</v>
      </c>
      <c r="F156" s="995">
        <v>42</v>
      </c>
      <c r="G156" s="995">
        <v>15199</v>
      </c>
      <c r="H156" s="995">
        <v>0</v>
      </c>
      <c r="I156" s="995">
        <v>0</v>
      </c>
      <c r="J156" s="995">
        <v>0</v>
      </c>
      <c r="K156" s="995">
        <v>0</v>
      </c>
      <c r="L156" s="995">
        <v>0</v>
      </c>
      <c r="M156" s="995">
        <v>0</v>
      </c>
      <c r="N156" s="995">
        <v>1380</v>
      </c>
      <c r="O156" s="995">
        <v>0</v>
      </c>
      <c r="P156" s="995">
        <v>23869</v>
      </c>
      <c r="Q156" s="995">
        <v>17050</v>
      </c>
      <c r="R156" s="995">
        <v>40919</v>
      </c>
      <c r="S156" s="1196"/>
      <c r="T156" s="1198"/>
      <c r="U156" s="989" t="s">
        <v>1375</v>
      </c>
      <c r="V156" s="995">
        <v>22398</v>
      </c>
      <c r="W156" s="995">
        <v>6002</v>
      </c>
      <c r="X156" s="995">
        <v>11348</v>
      </c>
      <c r="Y156" s="995">
        <v>0</v>
      </c>
      <c r="Z156" s="995">
        <v>0</v>
      </c>
      <c r="AA156" s="995">
        <v>0</v>
      </c>
      <c r="AB156" s="995">
        <v>1171</v>
      </c>
      <c r="AC156" s="995">
        <v>0</v>
      </c>
      <c r="AD156" s="995">
        <v>40919</v>
      </c>
    </row>
    <row r="157" spans="1:30" ht="19.5" customHeight="1">
      <c r="A157" s="1197"/>
      <c r="B157" s="992" t="s">
        <v>1032</v>
      </c>
      <c r="C157" s="997"/>
      <c r="D157" s="997">
        <f aca="true" t="shared" si="2" ref="D157:R157">D115</f>
        <v>429</v>
      </c>
      <c r="E157" s="997">
        <f t="shared" si="2"/>
        <v>0</v>
      </c>
      <c r="F157" s="997">
        <f t="shared" si="2"/>
        <v>20</v>
      </c>
      <c r="G157" s="997">
        <f t="shared" si="2"/>
        <v>15199</v>
      </c>
      <c r="H157" s="997">
        <f t="shared" si="2"/>
        <v>0</v>
      </c>
      <c r="I157" s="997">
        <f t="shared" si="2"/>
        <v>0</v>
      </c>
      <c r="J157" s="997">
        <f t="shared" si="2"/>
        <v>0</v>
      </c>
      <c r="K157" s="997">
        <f t="shared" si="2"/>
        <v>0</v>
      </c>
      <c r="L157" s="997">
        <f t="shared" si="2"/>
        <v>0</v>
      </c>
      <c r="M157" s="997">
        <f t="shared" si="2"/>
        <v>0</v>
      </c>
      <c r="N157" s="997">
        <f t="shared" si="2"/>
        <v>1380</v>
      </c>
      <c r="O157" s="997">
        <f t="shared" si="2"/>
        <v>0</v>
      </c>
      <c r="P157" s="997">
        <f t="shared" si="2"/>
        <v>23856</v>
      </c>
      <c r="Q157" s="997">
        <f t="shared" si="2"/>
        <v>17028</v>
      </c>
      <c r="R157" s="997">
        <f t="shared" si="2"/>
        <v>40884</v>
      </c>
      <c r="S157" s="1196"/>
      <c r="T157" s="997"/>
      <c r="U157" s="992" t="s">
        <v>1032</v>
      </c>
      <c r="V157" s="997">
        <f aca="true" t="shared" si="3" ref="V157:AD157">V115</f>
        <v>22053</v>
      </c>
      <c r="W157" s="997">
        <f t="shared" si="3"/>
        <v>5991</v>
      </c>
      <c r="X157" s="997">
        <f t="shared" si="3"/>
        <v>10193</v>
      </c>
      <c r="Y157" s="997">
        <f t="shared" si="3"/>
        <v>0</v>
      </c>
      <c r="Z157" s="997">
        <f t="shared" si="3"/>
        <v>0</v>
      </c>
      <c r="AA157" s="997">
        <f t="shared" si="3"/>
        <v>0</v>
      </c>
      <c r="AB157" s="997">
        <f t="shared" si="3"/>
        <v>1147</v>
      </c>
      <c r="AC157" s="997">
        <f t="shared" si="3"/>
        <v>0</v>
      </c>
      <c r="AD157" s="997">
        <f t="shared" si="3"/>
        <v>39384</v>
      </c>
    </row>
  </sheetData>
  <sheetProtection/>
  <mergeCells count="70">
    <mergeCell ref="A4:A9"/>
    <mergeCell ref="A2:A3"/>
    <mergeCell ref="B2:B3"/>
    <mergeCell ref="C2:C3"/>
    <mergeCell ref="S4:S9"/>
    <mergeCell ref="A10:A15"/>
    <mergeCell ref="S10:S15"/>
    <mergeCell ref="A1:R1"/>
    <mergeCell ref="D2:G2"/>
    <mergeCell ref="H2:K2"/>
    <mergeCell ref="N2:O2"/>
    <mergeCell ref="Q2:Q3"/>
    <mergeCell ref="R2:R3"/>
    <mergeCell ref="A16:A21"/>
    <mergeCell ref="S16:S21"/>
    <mergeCell ref="A22:A27"/>
    <mergeCell ref="S22:S27"/>
    <mergeCell ref="S28:S33"/>
    <mergeCell ref="A34:A39"/>
    <mergeCell ref="S34:S39"/>
    <mergeCell ref="A28:A33"/>
    <mergeCell ref="A40:A45"/>
    <mergeCell ref="S40:S45"/>
    <mergeCell ref="A46:A51"/>
    <mergeCell ref="S46:S51"/>
    <mergeCell ref="A58:A63"/>
    <mergeCell ref="S58:S63"/>
    <mergeCell ref="A52:A57"/>
    <mergeCell ref="S52:S57"/>
    <mergeCell ref="A64:A69"/>
    <mergeCell ref="S64:S69"/>
    <mergeCell ref="A70:A75"/>
    <mergeCell ref="S70:S75"/>
    <mergeCell ref="A76:A81"/>
    <mergeCell ref="S76:S81"/>
    <mergeCell ref="A82:A87"/>
    <mergeCell ref="S82:S87"/>
    <mergeCell ref="A88:A93"/>
    <mergeCell ref="S88:S93"/>
    <mergeCell ref="A94:A99"/>
    <mergeCell ref="S94:S99"/>
    <mergeCell ref="A128:A133"/>
    <mergeCell ref="S128:S133"/>
    <mergeCell ref="A100:A105"/>
    <mergeCell ref="S100:S105"/>
    <mergeCell ref="A106:A109"/>
    <mergeCell ref="S106:S109"/>
    <mergeCell ref="A110:A115"/>
    <mergeCell ref="B110:B114"/>
    <mergeCell ref="S110:S115"/>
    <mergeCell ref="A152:A157"/>
    <mergeCell ref="B152:B156"/>
    <mergeCell ref="S152:S157"/>
    <mergeCell ref="T152:T156"/>
    <mergeCell ref="T110:T114"/>
    <mergeCell ref="A116:A121"/>
    <mergeCell ref="S116:S121"/>
    <mergeCell ref="B146:B150"/>
    <mergeCell ref="S146:S151"/>
    <mergeCell ref="T146:T150"/>
    <mergeCell ref="S1:AD1"/>
    <mergeCell ref="A140:A145"/>
    <mergeCell ref="B140:B144"/>
    <mergeCell ref="S140:S145"/>
    <mergeCell ref="T140:T143"/>
    <mergeCell ref="A146:A151"/>
    <mergeCell ref="A134:A139"/>
    <mergeCell ref="S134:S139"/>
    <mergeCell ref="A122:A127"/>
    <mergeCell ref="S122:S127"/>
  </mergeCells>
  <printOptions horizontalCentered="1"/>
  <pageMargins left="0.7874015748031497" right="0.7874015748031497" top="0.9448818897637796" bottom="0.984251968503937" header="0.35433070866141736" footer="0.5118110236220472"/>
  <pageSetup horizontalDpi="600" verticalDpi="600" orientation="landscape" paperSize="9" scale="35" r:id="rId1"/>
  <headerFooter alignWithMargins="0">
    <oddHeader>&amp;L&amp;14 6. melléklet a 16/2016.(V.26.)     önkormányzati rendelethez
</oddHeader>
  </headerFooter>
  <rowBreaks count="2" manualBreakCount="2">
    <brk id="51" max="29" man="1"/>
    <brk id="105" max="29" man="1"/>
  </rowBreaks>
  <colBreaks count="1" manualBreakCount="1">
    <brk id="18" max="15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98" zoomScaleSheetLayoutView="98" workbookViewId="0" topLeftCell="A6">
      <selection activeCell="D6" sqref="D6"/>
    </sheetView>
  </sheetViews>
  <sheetFormatPr defaultColWidth="9.00390625" defaultRowHeight="12.75"/>
  <cols>
    <col min="1" max="1" width="16.625" style="59" customWidth="1"/>
    <col min="2" max="2" width="12.00390625" style="59" customWidth="1"/>
    <col min="3" max="3" width="9.00390625" style="59" customWidth="1"/>
    <col min="4" max="4" width="8.875" style="59" customWidth="1"/>
    <col min="5" max="5" width="7.625" style="59" customWidth="1"/>
    <col min="6" max="6" width="10.625" style="59" customWidth="1"/>
    <col min="7" max="7" width="9.25390625" style="59" customWidth="1"/>
    <col min="8" max="8" width="13.625" style="59" customWidth="1"/>
    <col min="9" max="9" width="9.375" style="59" customWidth="1"/>
    <col min="10" max="10" width="10.625" style="59" customWidth="1"/>
    <col min="11" max="11" width="12.75390625" style="59" customWidth="1"/>
    <col min="12" max="12" width="11.00390625" style="59" customWidth="1"/>
    <col min="13" max="13" width="8.375" style="59" customWidth="1"/>
    <col min="14" max="14" width="13.75390625" style="59" customWidth="1"/>
    <col min="15" max="15" width="12.125" style="59" customWidth="1"/>
    <col min="16" max="17" width="9.125" style="59" customWidth="1"/>
    <col min="18" max="16384" width="9.125" style="59" customWidth="1"/>
  </cols>
  <sheetData>
    <row r="1" spans="1:15" ht="12.75">
      <c r="A1" s="1214"/>
      <c r="B1" s="1214"/>
      <c r="C1" s="1214"/>
      <c r="D1" s="1214"/>
      <c r="E1" s="1214"/>
      <c r="F1" s="1214"/>
      <c r="G1" s="1214"/>
      <c r="H1" s="1214"/>
      <c r="I1" s="1214"/>
      <c r="J1" s="1214"/>
      <c r="K1" s="1214"/>
      <c r="L1" s="1214"/>
      <c r="M1" s="1214"/>
      <c r="N1" s="1214"/>
      <c r="O1" s="1214"/>
    </row>
    <row r="2" spans="1:15" ht="12.75">
      <c r="A2" s="1210" t="s">
        <v>231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</row>
    <row r="3" spans="1:15" ht="13.5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9.5" customHeight="1">
      <c r="A4" s="1211" t="s">
        <v>424</v>
      </c>
      <c r="B4" s="1206"/>
      <c r="C4" s="1206" t="s">
        <v>425</v>
      </c>
      <c r="D4" s="1206" t="s">
        <v>426</v>
      </c>
      <c r="E4" s="1206"/>
      <c r="F4" s="1206" t="s">
        <v>427</v>
      </c>
      <c r="G4" s="1206" t="s">
        <v>428</v>
      </c>
      <c r="H4" s="1206"/>
      <c r="I4" s="1206" t="s">
        <v>429</v>
      </c>
      <c r="J4" s="1206"/>
      <c r="K4" s="1206" t="s">
        <v>430</v>
      </c>
      <c r="L4" s="1206" t="s">
        <v>258</v>
      </c>
      <c r="M4" s="1206"/>
      <c r="N4" s="1206" t="s">
        <v>431</v>
      </c>
      <c r="O4" s="1208" t="s">
        <v>417</v>
      </c>
    </row>
    <row r="5" spans="1:15" ht="21">
      <c r="A5" s="1212"/>
      <c r="B5" s="1207"/>
      <c r="C5" s="1207"/>
      <c r="D5" s="123" t="s">
        <v>432</v>
      </c>
      <c r="E5" s="123" t="s">
        <v>419</v>
      </c>
      <c r="F5" s="1207"/>
      <c r="G5" s="123" t="s">
        <v>433</v>
      </c>
      <c r="H5" s="123" t="s">
        <v>434</v>
      </c>
      <c r="I5" s="123" t="s">
        <v>433</v>
      </c>
      <c r="J5" s="123" t="s">
        <v>434</v>
      </c>
      <c r="K5" s="1207"/>
      <c r="L5" s="123" t="s">
        <v>442</v>
      </c>
      <c r="M5" s="123" t="s">
        <v>420</v>
      </c>
      <c r="N5" s="1207"/>
      <c r="O5" s="1209"/>
    </row>
    <row r="6" spans="1:15" ht="12.75">
      <c r="A6" s="128" t="s">
        <v>435</v>
      </c>
      <c r="B6" s="124" t="s">
        <v>4</v>
      </c>
      <c r="C6" s="125">
        <v>15980</v>
      </c>
      <c r="D6" s="125"/>
      <c r="E6" s="125">
        <v>11267</v>
      </c>
      <c r="F6" s="125"/>
      <c r="G6" s="125"/>
      <c r="H6" s="125"/>
      <c r="I6" s="125">
        <v>11200</v>
      </c>
      <c r="J6" s="125"/>
      <c r="K6" s="125"/>
      <c r="L6" s="125"/>
      <c r="M6" s="125"/>
      <c r="N6" s="125">
        <v>145814</v>
      </c>
      <c r="O6" s="129">
        <f>C6+I6+N6</f>
        <v>172994</v>
      </c>
    </row>
    <row r="7" spans="1:15" ht="14.25" customHeight="1">
      <c r="A7" s="128"/>
      <c r="B7" s="122" t="s">
        <v>976</v>
      </c>
      <c r="C7" s="125">
        <v>0</v>
      </c>
      <c r="D7" s="125"/>
      <c r="E7" s="125">
        <v>0</v>
      </c>
      <c r="F7" s="125"/>
      <c r="G7" s="125"/>
      <c r="H7" s="125"/>
      <c r="I7" s="125">
        <v>0</v>
      </c>
      <c r="J7" s="125"/>
      <c r="K7" s="125"/>
      <c r="L7" s="125"/>
      <c r="M7" s="125"/>
      <c r="N7" s="125">
        <v>0</v>
      </c>
      <c r="O7" s="129">
        <v>0</v>
      </c>
    </row>
    <row r="8" spans="1:15" ht="14.25" customHeight="1">
      <c r="A8" s="128"/>
      <c r="B8" s="122" t="s">
        <v>1032</v>
      </c>
      <c r="C8" s="125"/>
      <c r="D8" s="125"/>
      <c r="E8" s="125">
        <v>0</v>
      </c>
      <c r="F8" s="125"/>
      <c r="G8" s="125"/>
      <c r="H8" s="125"/>
      <c r="I8" s="125">
        <v>0</v>
      </c>
      <c r="J8" s="125"/>
      <c r="K8" s="125"/>
      <c r="L8" s="125"/>
      <c r="M8" s="125"/>
      <c r="N8" s="125">
        <v>0</v>
      </c>
      <c r="O8" s="129">
        <v>0</v>
      </c>
    </row>
    <row r="9" spans="1:15" ht="12.75">
      <c r="A9" s="128" t="s">
        <v>436</v>
      </c>
      <c r="B9" s="124" t="s">
        <v>4</v>
      </c>
      <c r="C9" s="125">
        <v>0</v>
      </c>
      <c r="D9" s="125"/>
      <c r="E9" s="125"/>
      <c r="F9" s="125"/>
      <c r="G9" s="125"/>
      <c r="H9" s="125"/>
      <c r="I9" s="125">
        <v>0</v>
      </c>
      <c r="J9" s="125"/>
      <c r="K9" s="125"/>
      <c r="L9" s="125"/>
      <c r="M9" s="125"/>
      <c r="N9" s="125">
        <v>0</v>
      </c>
      <c r="O9" s="129">
        <f aca="true" t="shared" si="0" ref="O9:O15">C9+N9</f>
        <v>0</v>
      </c>
    </row>
    <row r="10" spans="1:15" ht="12.75">
      <c r="A10" s="128"/>
      <c r="B10" s="122" t="s">
        <v>976</v>
      </c>
      <c r="C10" s="125">
        <v>0</v>
      </c>
      <c r="D10" s="125"/>
      <c r="E10" s="125"/>
      <c r="F10" s="125"/>
      <c r="G10" s="125"/>
      <c r="H10" s="125"/>
      <c r="I10" s="125">
        <v>0</v>
      </c>
      <c r="J10" s="125"/>
      <c r="K10" s="125"/>
      <c r="L10" s="125"/>
      <c r="M10" s="125"/>
      <c r="N10" s="125">
        <v>0</v>
      </c>
      <c r="O10" s="129">
        <v>0</v>
      </c>
    </row>
    <row r="11" spans="1:15" ht="12.75">
      <c r="A11" s="128"/>
      <c r="B11" s="122" t="s">
        <v>1032</v>
      </c>
      <c r="C11" s="125"/>
      <c r="D11" s="125"/>
      <c r="E11" s="125"/>
      <c r="F11" s="125"/>
      <c r="G11" s="125"/>
      <c r="H11" s="125"/>
      <c r="I11" s="125">
        <v>0</v>
      </c>
      <c r="J11" s="125"/>
      <c r="K11" s="125"/>
      <c r="L11" s="125"/>
      <c r="M11" s="125"/>
      <c r="N11" s="125">
        <v>0</v>
      </c>
      <c r="O11" s="129">
        <v>0</v>
      </c>
    </row>
    <row r="12" spans="1:15" ht="12.75">
      <c r="A12" s="128" t="s">
        <v>437</v>
      </c>
      <c r="B12" s="124" t="s">
        <v>4</v>
      </c>
      <c r="C12" s="125">
        <v>0</v>
      </c>
      <c r="D12" s="125"/>
      <c r="E12" s="125"/>
      <c r="F12" s="125"/>
      <c r="G12" s="125"/>
      <c r="H12" s="125"/>
      <c r="I12" s="125">
        <v>0</v>
      </c>
      <c r="J12" s="125"/>
      <c r="K12" s="125"/>
      <c r="L12" s="125"/>
      <c r="M12" s="125"/>
      <c r="N12" s="125">
        <v>0</v>
      </c>
      <c r="O12" s="129">
        <f t="shared" si="0"/>
        <v>0</v>
      </c>
    </row>
    <row r="13" spans="1:15" ht="12.75">
      <c r="A13" s="128"/>
      <c r="B13" s="122" t="s">
        <v>976</v>
      </c>
      <c r="C13" s="125">
        <v>0</v>
      </c>
      <c r="D13" s="125"/>
      <c r="E13" s="125"/>
      <c r="F13" s="125"/>
      <c r="G13" s="125"/>
      <c r="H13" s="125"/>
      <c r="I13" s="125">
        <v>0</v>
      </c>
      <c r="J13" s="125"/>
      <c r="K13" s="125"/>
      <c r="L13" s="125"/>
      <c r="M13" s="125"/>
      <c r="N13" s="125">
        <v>0</v>
      </c>
      <c r="O13" s="129">
        <v>0</v>
      </c>
    </row>
    <row r="14" spans="1:15" ht="12.75">
      <c r="A14" s="128"/>
      <c r="B14" s="122" t="s">
        <v>1032</v>
      </c>
      <c r="C14" s="125"/>
      <c r="D14" s="125"/>
      <c r="E14" s="125"/>
      <c r="F14" s="125"/>
      <c r="G14" s="125"/>
      <c r="H14" s="125"/>
      <c r="I14" s="125">
        <v>0</v>
      </c>
      <c r="J14" s="125"/>
      <c r="K14" s="125"/>
      <c r="L14" s="125"/>
      <c r="M14" s="125"/>
      <c r="N14" s="125">
        <v>0</v>
      </c>
      <c r="O14" s="129">
        <v>0</v>
      </c>
    </row>
    <row r="15" spans="1:15" ht="12.75">
      <c r="A15" s="128" t="s">
        <v>438</v>
      </c>
      <c r="B15" s="124" t="s">
        <v>4</v>
      </c>
      <c r="C15" s="125">
        <v>10500</v>
      </c>
      <c r="D15" s="125"/>
      <c r="E15" s="125">
        <v>2835</v>
      </c>
      <c r="F15" s="125"/>
      <c r="G15" s="125"/>
      <c r="H15" s="125"/>
      <c r="I15" s="125">
        <v>0</v>
      </c>
      <c r="J15" s="125"/>
      <c r="K15" s="125"/>
      <c r="L15" s="125"/>
      <c r="M15" s="125"/>
      <c r="N15" s="125">
        <v>0</v>
      </c>
      <c r="O15" s="129">
        <f t="shared" si="0"/>
        <v>10500</v>
      </c>
    </row>
    <row r="16" spans="1:15" ht="12.75">
      <c r="A16" s="128"/>
      <c r="B16" s="122" t="s">
        <v>976</v>
      </c>
      <c r="C16" s="125">
        <v>0</v>
      </c>
      <c r="D16" s="125"/>
      <c r="E16" s="125">
        <v>0</v>
      </c>
      <c r="F16" s="125"/>
      <c r="G16" s="125"/>
      <c r="H16" s="125"/>
      <c r="I16" s="125">
        <v>0</v>
      </c>
      <c r="J16" s="125"/>
      <c r="K16" s="125"/>
      <c r="L16" s="125"/>
      <c r="M16" s="125"/>
      <c r="N16" s="125">
        <v>0</v>
      </c>
      <c r="O16" s="129">
        <v>0</v>
      </c>
    </row>
    <row r="17" spans="1:15" ht="12.75">
      <c r="A17" s="128"/>
      <c r="B17" s="122" t="s">
        <v>1032</v>
      </c>
      <c r="C17" s="125"/>
      <c r="D17" s="125"/>
      <c r="E17" s="125">
        <v>0</v>
      </c>
      <c r="F17" s="125"/>
      <c r="G17" s="125"/>
      <c r="H17" s="125"/>
      <c r="I17" s="125">
        <v>0</v>
      </c>
      <c r="J17" s="125"/>
      <c r="K17" s="125"/>
      <c r="L17" s="125"/>
      <c r="M17" s="125"/>
      <c r="N17" s="125">
        <v>0</v>
      </c>
      <c r="O17" s="129">
        <v>0</v>
      </c>
    </row>
    <row r="18" spans="1:15" ht="12.75">
      <c r="A18" s="130" t="s">
        <v>257</v>
      </c>
      <c r="B18" s="126" t="s">
        <v>4</v>
      </c>
      <c r="C18" s="127">
        <f aca="true" t="shared" si="1" ref="C18:O18">SUM(C6+C9+C12+C15)</f>
        <v>26480</v>
      </c>
      <c r="D18" s="127">
        <f t="shared" si="1"/>
        <v>0</v>
      </c>
      <c r="E18" s="127">
        <f t="shared" si="1"/>
        <v>14102</v>
      </c>
      <c r="F18" s="127">
        <f t="shared" si="1"/>
        <v>0</v>
      </c>
      <c r="G18" s="127">
        <f t="shared" si="1"/>
        <v>0</v>
      </c>
      <c r="H18" s="127">
        <f t="shared" si="1"/>
        <v>0</v>
      </c>
      <c r="I18" s="127">
        <f t="shared" si="1"/>
        <v>11200</v>
      </c>
      <c r="J18" s="127">
        <f t="shared" si="1"/>
        <v>0</v>
      </c>
      <c r="K18" s="127">
        <f t="shared" si="1"/>
        <v>0</v>
      </c>
      <c r="L18" s="127">
        <f t="shared" si="1"/>
        <v>0</v>
      </c>
      <c r="M18" s="127">
        <f t="shared" si="1"/>
        <v>0</v>
      </c>
      <c r="N18" s="127">
        <f t="shared" si="1"/>
        <v>145814</v>
      </c>
      <c r="O18" s="131">
        <f t="shared" si="1"/>
        <v>183494</v>
      </c>
    </row>
    <row r="19" spans="1:15" ht="12.75">
      <c r="A19" s="130"/>
      <c r="B19" s="330" t="s">
        <v>976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31">
        <v>0</v>
      </c>
    </row>
    <row r="20" spans="1:15" ht="12.75">
      <c r="A20" s="130"/>
      <c r="B20" s="330" t="s">
        <v>1032</v>
      </c>
      <c r="C20" s="127"/>
      <c r="D20" s="127"/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/>
      <c r="K20" s="127"/>
      <c r="L20" s="127"/>
      <c r="M20" s="127"/>
      <c r="N20" s="127">
        <v>0</v>
      </c>
      <c r="O20" s="131">
        <v>0</v>
      </c>
    </row>
    <row r="21" spans="1:15" ht="12.75">
      <c r="A21" s="130" t="s">
        <v>423</v>
      </c>
      <c r="B21" s="126" t="s">
        <v>4</v>
      </c>
      <c r="C21" s="127">
        <f aca="true" t="shared" si="2" ref="C21:N21">SUM(C6+C9+C12+C15)</f>
        <v>26480</v>
      </c>
      <c r="D21" s="127">
        <f t="shared" si="2"/>
        <v>0</v>
      </c>
      <c r="E21" s="127">
        <f t="shared" si="2"/>
        <v>14102</v>
      </c>
      <c r="F21" s="127">
        <f t="shared" si="2"/>
        <v>0</v>
      </c>
      <c r="G21" s="127">
        <f t="shared" si="2"/>
        <v>0</v>
      </c>
      <c r="H21" s="127">
        <f t="shared" si="2"/>
        <v>0</v>
      </c>
      <c r="I21" s="127">
        <f t="shared" si="2"/>
        <v>11200</v>
      </c>
      <c r="J21" s="127">
        <f t="shared" si="2"/>
        <v>0</v>
      </c>
      <c r="K21" s="127">
        <f t="shared" si="2"/>
        <v>0</v>
      </c>
      <c r="L21" s="127">
        <f t="shared" si="2"/>
        <v>0</v>
      </c>
      <c r="M21" s="127">
        <f t="shared" si="2"/>
        <v>0</v>
      </c>
      <c r="N21" s="127">
        <f t="shared" si="2"/>
        <v>145814</v>
      </c>
      <c r="O21" s="132">
        <f>O18</f>
        <v>183494</v>
      </c>
    </row>
    <row r="22" spans="1:15" ht="12.75">
      <c r="A22" s="569"/>
      <c r="B22" s="330" t="s">
        <v>976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31">
        <v>0</v>
      </c>
    </row>
    <row r="23" spans="1:15" ht="13.5" thickBot="1">
      <c r="A23" s="269"/>
      <c r="B23" s="534" t="s">
        <v>1032</v>
      </c>
      <c r="C23" s="272">
        <v>0</v>
      </c>
      <c r="D23" s="272"/>
      <c r="E23" s="272">
        <v>0</v>
      </c>
      <c r="F23" s="272">
        <v>0</v>
      </c>
      <c r="G23" s="272">
        <v>0</v>
      </c>
      <c r="H23" s="272">
        <v>0</v>
      </c>
      <c r="I23" s="272">
        <v>0</v>
      </c>
      <c r="J23" s="272">
        <v>0</v>
      </c>
      <c r="K23" s="272">
        <v>0</v>
      </c>
      <c r="L23" s="272">
        <v>0</v>
      </c>
      <c r="M23" s="272">
        <v>0</v>
      </c>
      <c r="N23" s="272">
        <v>0</v>
      </c>
      <c r="O23" s="273">
        <v>0</v>
      </c>
    </row>
    <row r="24" spans="1:15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ht="12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1" ht="18.75" customHeight="1">
      <c r="A26" s="1210" t="s">
        <v>232</v>
      </c>
      <c r="B26" s="1210"/>
      <c r="C26" s="1210"/>
      <c r="D26" s="1210"/>
      <c r="E26" s="1210"/>
      <c r="F26" s="1210"/>
      <c r="G26" s="1210"/>
      <c r="H26" s="1210"/>
      <c r="I26" s="1210"/>
      <c r="J26" s="1210"/>
      <c r="K26" s="1210"/>
    </row>
    <row r="27" spans="1:11" ht="18.75" customHeight="1" thickBot="1">
      <c r="A27" s="58"/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1" ht="18.75" customHeight="1">
      <c r="A28" s="1211" t="s">
        <v>424</v>
      </c>
      <c r="B28" s="1206"/>
      <c r="C28" s="1213" t="s">
        <v>305</v>
      </c>
      <c r="D28" s="1213"/>
      <c r="E28" s="1213"/>
      <c r="F28" s="1213"/>
      <c r="G28" s="1213"/>
      <c r="H28" s="133"/>
      <c r="I28" s="1213" t="s">
        <v>306</v>
      </c>
      <c r="J28" s="1213"/>
      <c r="K28" s="1208" t="s">
        <v>418</v>
      </c>
    </row>
    <row r="29" spans="1:11" ht="45.75" customHeight="1">
      <c r="A29" s="1212"/>
      <c r="B29" s="1207"/>
      <c r="C29" s="123" t="s">
        <v>261</v>
      </c>
      <c r="D29" s="123" t="s">
        <v>421</v>
      </c>
      <c r="E29" s="123" t="s">
        <v>439</v>
      </c>
      <c r="F29" s="123" t="s">
        <v>440</v>
      </c>
      <c r="G29" s="123" t="s">
        <v>441</v>
      </c>
      <c r="H29" s="123" t="s">
        <v>152</v>
      </c>
      <c r="I29" s="123" t="s">
        <v>273</v>
      </c>
      <c r="J29" s="123" t="s">
        <v>274</v>
      </c>
      <c r="K29" s="1209"/>
    </row>
    <row r="30" spans="1:12" ht="12.75" customHeight="1">
      <c r="A30" s="128" t="s">
        <v>435</v>
      </c>
      <c r="B30" s="124" t="s">
        <v>4</v>
      </c>
      <c r="C30" s="125">
        <v>67529</v>
      </c>
      <c r="D30" s="125">
        <v>19668</v>
      </c>
      <c r="E30" s="125">
        <v>54173</v>
      </c>
      <c r="F30" s="125"/>
      <c r="G30" s="125"/>
      <c r="H30" s="125"/>
      <c r="I30" s="125">
        <v>8382</v>
      </c>
      <c r="J30" s="125"/>
      <c r="K30" s="129">
        <f>SUM(C30:J30)</f>
        <v>149752</v>
      </c>
      <c r="L30" s="62"/>
    </row>
    <row r="31" spans="1:12" ht="12.75" customHeight="1">
      <c r="A31" s="128"/>
      <c r="B31" s="122" t="s">
        <v>976</v>
      </c>
      <c r="C31" s="125">
        <v>0</v>
      </c>
      <c r="D31" s="125">
        <v>0</v>
      </c>
      <c r="E31" s="125">
        <v>0</v>
      </c>
      <c r="F31" s="125"/>
      <c r="G31" s="125"/>
      <c r="H31" s="125"/>
      <c r="I31" s="125">
        <v>0</v>
      </c>
      <c r="J31" s="125"/>
      <c r="K31" s="129">
        <v>0</v>
      </c>
      <c r="L31" s="62"/>
    </row>
    <row r="32" spans="1:12" ht="12.75" customHeight="1">
      <c r="A32" s="128"/>
      <c r="B32" s="122" t="s">
        <v>1032</v>
      </c>
      <c r="C32" s="125">
        <v>0</v>
      </c>
      <c r="D32" s="125">
        <v>0</v>
      </c>
      <c r="E32" s="125">
        <v>0</v>
      </c>
      <c r="F32" s="125"/>
      <c r="G32" s="125"/>
      <c r="H32" s="125"/>
      <c r="I32" s="125">
        <v>0</v>
      </c>
      <c r="J32" s="125"/>
      <c r="K32" s="129"/>
      <c r="L32" s="62"/>
    </row>
    <row r="33" spans="1:12" ht="12.75" customHeight="1">
      <c r="A33" s="128" t="s">
        <v>436</v>
      </c>
      <c r="B33" s="124" t="s">
        <v>4</v>
      </c>
      <c r="C33" s="125">
        <v>7879</v>
      </c>
      <c r="D33" s="125">
        <v>2127</v>
      </c>
      <c r="E33" s="125">
        <v>0</v>
      </c>
      <c r="F33" s="125"/>
      <c r="G33" s="125"/>
      <c r="H33" s="125"/>
      <c r="I33" s="125">
        <v>0</v>
      </c>
      <c r="J33" s="125"/>
      <c r="K33" s="129">
        <f>SUM(C33:J33)</f>
        <v>10006</v>
      </c>
      <c r="L33" s="62"/>
    </row>
    <row r="34" spans="1:12" ht="12.75" customHeight="1">
      <c r="A34" s="128"/>
      <c r="B34" s="122" t="s">
        <v>976</v>
      </c>
      <c r="C34" s="125">
        <v>0</v>
      </c>
      <c r="D34" s="125">
        <v>0</v>
      </c>
      <c r="E34" s="125">
        <v>0</v>
      </c>
      <c r="F34" s="125"/>
      <c r="G34" s="125"/>
      <c r="H34" s="125"/>
      <c r="I34" s="125">
        <v>0</v>
      </c>
      <c r="J34" s="125"/>
      <c r="K34" s="129">
        <v>0</v>
      </c>
      <c r="L34" s="62"/>
    </row>
    <row r="35" spans="1:12" ht="12.75" customHeight="1">
      <c r="A35" s="128"/>
      <c r="B35" s="122">
        <v>0</v>
      </c>
      <c r="C35" s="125">
        <v>0</v>
      </c>
      <c r="D35" s="125">
        <v>0</v>
      </c>
      <c r="E35" s="125">
        <v>0</v>
      </c>
      <c r="F35" s="125"/>
      <c r="G35" s="125"/>
      <c r="H35" s="125"/>
      <c r="I35" s="125">
        <v>0</v>
      </c>
      <c r="J35" s="125"/>
      <c r="K35" s="129"/>
      <c r="L35" s="62"/>
    </row>
    <row r="36" spans="1:12" ht="12.75" customHeight="1">
      <c r="A36" s="128" t="s">
        <v>437</v>
      </c>
      <c r="B36" s="124" t="s">
        <v>4</v>
      </c>
      <c r="C36" s="125">
        <v>0</v>
      </c>
      <c r="D36" s="125">
        <v>0</v>
      </c>
      <c r="E36" s="125">
        <v>0</v>
      </c>
      <c r="F36" s="125"/>
      <c r="G36" s="125"/>
      <c r="H36" s="125"/>
      <c r="I36" s="125">
        <v>0</v>
      </c>
      <c r="J36" s="125"/>
      <c r="K36" s="129">
        <f>SUM(C36:J36)</f>
        <v>0</v>
      </c>
      <c r="L36" s="62"/>
    </row>
    <row r="37" spans="1:12" ht="12.75" customHeight="1">
      <c r="A37" s="128"/>
      <c r="B37" s="122" t="s">
        <v>976</v>
      </c>
      <c r="C37" s="125">
        <v>0</v>
      </c>
      <c r="D37" s="125">
        <v>0</v>
      </c>
      <c r="E37" s="125">
        <v>0</v>
      </c>
      <c r="F37" s="125"/>
      <c r="G37" s="125"/>
      <c r="H37" s="125"/>
      <c r="I37" s="125">
        <v>0</v>
      </c>
      <c r="J37" s="125"/>
      <c r="K37" s="129">
        <v>0</v>
      </c>
      <c r="L37" s="62"/>
    </row>
    <row r="38" spans="1:12" ht="12.75" customHeight="1">
      <c r="A38" s="128"/>
      <c r="B38" s="122" t="s">
        <v>1032</v>
      </c>
      <c r="C38" s="125">
        <v>0</v>
      </c>
      <c r="D38" s="125">
        <v>0</v>
      </c>
      <c r="E38" s="125">
        <v>0</v>
      </c>
      <c r="F38" s="125"/>
      <c r="G38" s="125"/>
      <c r="H38" s="125"/>
      <c r="I38" s="125">
        <v>0</v>
      </c>
      <c r="J38" s="125"/>
      <c r="K38" s="129"/>
      <c r="L38" s="62"/>
    </row>
    <row r="39" spans="1:12" ht="12.75" customHeight="1">
      <c r="A39" s="128" t="s">
        <v>438</v>
      </c>
      <c r="B39" s="124" t="s">
        <v>4</v>
      </c>
      <c r="C39" s="125">
        <v>18690</v>
      </c>
      <c r="D39" s="125">
        <v>5046</v>
      </c>
      <c r="E39" s="125">
        <v>0</v>
      </c>
      <c r="F39" s="125"/>
      <c r="G39" s="125"/>
      <c r="H39" s="125"/>
      <c r="I39" s="125">
        <v>0</v>
      </c>
      <c r="J39" s="125"/>
      <c r="K39" s="129">
        <f>SUM(C39:J39)</f>
        <v>23736</v>
      </c>
      <c r="L39" s="62"/>
    </row>
    <row r="40" spans="1:12" ht="12.75" customHeight="1">
      <c r="A40" s="128"/>
      <c r="B40" s="122" t="s">
        <v>976</v>
      </c>
      <c r="C40" s="125">
        <v>0</v>
      </c>
      <c r="D40" s="125">
        <v>0</v>
      </c>
      <c r="E40" s="125">
        <v>0</v>
      </c>
      <c r="F40" s="125"/>
      <c r="G40" s="125"/>
      <c r="H40" s="125"/>
      <c r="I40" s="125">
        <v>0</v>
      </c>
      <c r="J40" s="125"/>
      <c r="K40" s="129">
        <v>0</v>
      </c>
      <c r="L40" s="62"/>
    </row>
    <row r="41" spans="1:12" ht="12.75" customHeight="1">
      <c r="A41" s="128"/>
      <c r="B41" s="122" t="s">
        <v>1032</v>
      </c>
      <c r="C41" s="125">
        <v>0</v>
      </c>
      <c r="D41" s="125">
        <v>0</v>
      </c>
      <c r="E41" s="125">
        <v>0</v>
      </c>
      <c r="F41" s="125"/>
      <c r="G41" s="125"/>
      <c r="H41" s="125"/>
      <c r="I41" s="125">
        <v>0</v>
      </c>
      <c r="J41" s="125"/>
      <c r="K41" s="129"/>
      <c r="L41" s="62"/>
    </row>
    <row r="42" spans="1:12" ht="12.75" customHeight="1">
      <c r="A42" s="134" t="s">
        <v>257</v>
      </c>
      <c r="B42" s="126" t="s">
        <v>4</v>
      </c>
      <c r="C42" s="127">
        <f aca="true" t="shared" si="3" ref="C42:K42">(C30+C33+C36+C39)</f>
        <v>94098</v>
      </c>
      <c r="D42" s="127">
        <f t="shared" si="3"/>
        <v>26841</v>
      </c>
      <c r="E42" s="127">
        <f t="shared" si="3"/>
        <v>54173</v>
      </c>
      <c r="F42" s="127">
        <f t="shared" si="3"/>
        <v>0</v>
      </c>
      <c r="G42" s="127">
        <f t="shared" si="3"/>
        <v>0</v>
      </c>
      <c r="H42" s="127">
        <f t="shared" si="3"/>
        <v>0</v>
      </c>
      <c r="I42" s="127">
        <f t="shared" si="3"/>
        <v>8382</v>
      </c>
      <c r="J42" s="127">
        <f t="shared" si="3"/>
        <v>0</v>
      </c>
      <c r="K42" s="131">
        <f t="shared" si="3"/>
        <v>183494</v>
      </c>
      <c r="L42" s="62"/>
    </row>
    <row r="43" spans="1:12" ht="12.75" customHeight="1">
      <c r="A43" s="134"/>
      <c r="B43" s="330" t="s">
        <v>976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127">
        <v>0</v>
      </c>
      <c r="J43" s="127">
        <v>0</v>
      </c>
      <c r="K43" s="131">
        <v>0</v>
      </c>
      <c r="L43" s="62"/>
    </row>
    <row r="44" spans="1:12" ht="12.75" customHeight="1">
      <c r="A44" s="134"/>
      <c r="B44" s="330" t="s">
        <v>1032</v>
      </c>
      <c r="C44" s="127">
        <v>0</v>
      </c>
      <c r="D44" s="127">
        <v>0</v>
      </c>
      <c r="E44" s="127">
        <v>0</v>
      </c>
      <c r="F44" s="127"/>
      <c r="G44" s="127"/>
      <c r="H44" s="127"/>
      <c r="I44" s="127">
        <v>0</v>
      </c>
      <c r="J44" s="127"/>
      <c r="K44" s="131"/>
      <c r="L44" s="62"/>
    </row>
    <row r="45" spans="1:12" ht="12.75" customHeight="1">
      <c r="A45" s="134" t="s">
        <v>423</v>
      </c>
      <c r="B45" s="126" t="s">
        <v>4</v>
      </c>
      <c r="C45" s="127">
        <f aca="true" t="shared" si="4" ref="C45:J45">SUM(C30+C33+C36+C39)</f>
        <v>94098</v>
      </c>
      <c r="D45" s="127">
        <f t="shared" si="4"/>
        <v>26841</v>
      </c>
      <c r="E45" s="127">
        <f t="shared" si="4"/>
        <v>54173</v>
      </c>
      <c r="F45" s="127">
        <f t="shared" si="4"/>
        <v>0</v>
      </c>
      <c r="G45" s="127">
        <f t="shared" si="4"/>
        <v>0</v>
      </c>
      <c r="H45" s="127">
        <f t="shared" si="4"/>
        <v>0</v>
      </c>
      <c r="I45" s="127">
        <f t="shared" si="4"/>
        <v>8382</v>
      </c>
      <c r="J45" s="127">
        <f t="shared" si="4"/>
        <v>0</v>
      </c>
      <c r="K45" s="131">
        <f>K42</f>
        <v>183494</v>
      </c>
      <c r="L45" s="62"/>
    </row>
    <row r="46" spans="1:11" ht="12.75">
      <c r="A46" s="571"/>
      <c r="B46" s="330" t="s">
        <v>976</v>
      </c>
      <c r="C46" s="570">
        <v>0</v>
      </c>
      <c r="D46" s="570">
        <v>0</v>
      </c>
      <c r="E46" s="570">
        <v>0</v>
      </c>
      <c r="F46" s="570">
        <v>0</v>
      </c>
      <c r="G46" s="570">
        <v>0</v>
      </c>
      <c r="H46" s="570">
        <v>0</v>
      </c>
      <c r="I46" s="570">
        <v>0</v>
      </c>
      <c r="J46" s="570">
        <v>0</v>
      </c>
      <c r="K46" s="572">
        <v>0</v>
      </c>
    </row>
    <row r="47" spans="1:11" ht="13.5" thickBot="1">
      <c r="A47" s="135"/>
      <c r="B47" s="534" t="s">
        <v>1032</v>
      </c>
      <c r="C47" s="331">
        <v>0</v>
      </c>
      <c r="D47" s="331">
        <v>0</v>
      </c>
      <c r="E47" s="331">
        <v>0</v>
      </c>
      <c r="F47" s="331"/>
      <c r="G47" s="331"/>
      <c r="H47" s="331"/>
      <c r="I47" s="331">
        <v>0</v>
      </c>
      <c r="J47" s="331"/>
      <c r="K47" s="332"/>
    </row>
  </sheetData>
  <sheetProtection/>
  <mergeCells count="17">
    <mergeCell ref="A1:O1"/>
    <mergeCell ref="A2:O2"/>
    <mergeCell ref="A4:B5"/>
    <mergeCell ref="C4:C5"/>
    <mergeCell ref="D4:E4"/>
    <mergeCell ref="F4:F5"/>
    <mergeCell ref="G4:H4"/>
    <mergeCell ref="I4:J4"/>
    <mergeCell ref="K4:K5"/>
    <mergeCell ref="L4:M4"/>
    <mergeCell ref="N4:N5"/>
    <mergeCell ref="O4:O5"/>
    <mergeCell ref="A26:K26"/>
    <mergeCell ref="A28:B29"/>
    <mergeCell ref="C28:G28"/>
    <mergeCell ref="I28:J28"/>
    <mergeCell ref="K28:K29"/>
  </mergeCells>
  <printOptions horizontalCentered="1"/>
  <pageMargins left="0.1968503937007874" right="0.1968503937007874" top="0.984251968503937" bottom="0.984251968503937" header="0.5118110236220472" footer="0.5118110236220472"/>
  <pageSetup fitToWidth="0" fitToHeight="1" horizontalDpi="600" verticalDpi="600" orientation="landscape" paperSize="9" scale="66" r:id="rId1"/>
  <headerFooter alignWithMargins="0">
    <oddHeader>&amp;L7. melléklet a 16/2016.(V.26.) önkormányzati rendelethez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zoomScalePageLayoutView="0" workbookViewId="0" topLeftCell="B79">
      <selection activeCell="B12" sqref="B12"/>
    </sheetView>
  </sheetViews>
  <sheetFormatPr defaultColWidth="9.00390625" defaultRowHeight="12.75"/>
  <cols>
    <col min="1" max="1" width="9.125" style="0" hidden="1" customWidth="1"/>
    <col min="2" max="2" width="99.625" style="0" customWidth="1"/>
    <col min="3" max="3" width="10.25390625" style="0" customWidth="1"/>
    <col min="4" max="12" width="9.125" style="0" hidden="1" customWidth="1"/>
    <col min="13" max="13" width="10.625" style="0" customWidth="1"/>
    <col min="14" max="16" width="9.125" style="0" hidden="1" customWidth="1"/>
    <col min="17" max="17" width="0.12890625" style="0" hidden="1" customWidth="1"/>
    <col min="18" max="18" width="11.00390625" style="0" customWidth="1"/>
  </cols>
  <sheetData>
    <row r="1" spans="1:18" ht="15.75">
      <c r="A1" s="444"/>
      <c r="B1" s="1215" t="s">
        <v>26</v>
      </c>
      <c r="C1" s="1215"/>
      <c r="D1" s="1215"/>
      <c r="E1" s="1215"/>
      <c r="F1" s="1215"/>
      <c r="G1" s="1215"/>
      <c r="H1" s="1215"/>
      <c r="I1" s="1215"/>
      <c r="J1" s="1215"/>
      <c r="K1" s="1215"/>
      <c r="L1" s="1215"/>
      <c r="M1" s="1215"/>
      <c r="N1" s="1215"/>
      <c r="O1" s="1215"/>
      <c r="P1" s="1215"/>
      <c r="Q1" s="1215"/>
      <c r="R1" s="1215"/>
    </row>
    <row r="2" spans="1:18" ht="15.75">
      <c r="A2" s="444"/>
      <c r="B2" s="1215" t="s">
        <v>3</v>
      </c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  <c r="N2" s="1215"/>
      <c r="O2" s="1215"/>
      <c r="P2" s="1215"/>
      <c r="Q2" s="1215"/>
      <c r="R2" s="1215"/>
    </row>
    <row r="3" spans="1:18" ht="13.5" thickBot="1">
      <c r="A3" s="444"/>
      <c r="B3" s="446"/>
      <c r="C3" s="447"/>
      <c r="D3" s="445"/>
      <c r="E3" s="445"/>
      <c r="F3" s="447"/>
      <c r="G3" s="448"/>
      <c r="H3" s="448"/>
      <c r="I3" s="448"/>
      <c r="J3" s="448"/>
      <c r="K3" s="448"/>
      <c r="L3" s="448"/>
      <c r="M3" s="448"/>
      <c r="N3" s="445"/>
      <c r="O3" s="445"/>
      <c r="P3" s="445"/>
      <c r="Q3" s="445"/>
      <c r="R3" s="479"/>
    </row>
    <row r="4" spans="1:18" ht="38.25">
      <c r="A4" s="449" t="s">
        <v>39</v>
      </c>
      <c r="B4" s="450" t="s">
        <v>621</v>
      </c>
      <c r="C4" s="451" t="s">
        <v>4</v>
      </c>
      <c r="D4" s="452" t="s">
        <v>461</v>
      </c>
      <c r="E4" s="453" t="s">
        <v>460</v>
      </c>
      <c r="F4" s="454" t="s">
        <v>663</v>
      </c>
      <c r="G4" s="455" t="s">
        <v>660</v>
      </c>
      <c r="H4" s="455" t="s">
        <v>744</v>
      </c>
      <c r="I4" s="455" t="s">
        <v>722</v>
      </c>
      <c r="J4" s="455" t="s">
        <v>800</v>
      </c>
      <c r="K4" s="455" t="s">
        <v>782</v>
      </c>
      <c r="L4" s="455" t="s">
        <v>989</v>
      </c>
      <c r="M4" s="455" t="s">
        <v>976</v>
      </c>
      <c r="N4" s="453"/>
      <c r="O4" s="453"/>
      <c r="P4" s="453"/>
      <c r="Q4" s="453"/>
      <c r="R4" s="456" t="s">
        <v>1032</v>
      </c>
    </row>
    <row r="5" spans="1:18" ht="12.75" customHeight="1">
      <c r="A5" s="444"/>
      <c r="B5" s="457"/>
      <c r="C5" s="458"/>
      <c r="D5" s="459"/>
      <c r="E5" s="459"/>
      <c r="F5" s="458"/>
      <c r="G5" s="460"/>
      <c r="H5" s="460"/>
      <c r="I5" s="460"/>
      <c r="J5" s="460"/>
      <c r="K5" s="460"/>
      <c r="L5" s="460"/>
      <c r="M5" s="460"/>
      <c r="N5" s="459"/>
      <c r="O5" s="459"/>
      <c r="P5" s="459"/>
      <c r="Q5" s="459"/>
      <c r="R5" s="697"/>
    </row>
    <row r="6" spans="1:18" ht="12.75" customHeight="1">
      <c r="A6" s="444"/>
      <c r="B6" s="461" t="s">
        <v>5</v>
      </c>
      <c r="C6" s="462">
        <f aca="true" t="shared" si="0" ref="C6:R6">SUM(C8,C21,C34)</f>
        <v>2192246</v>
      </c>
      <c r="D6" s="462">
        <f t="shared" si="0"/>
        <v>2377882</v>
      </c>
      <c r="E6" s="462">
        <f t="shared" si="0"/>
        <v>1095184</v>
      </c>
      <c r="F6" s="462">
        <f t="shared" si="0"/>
        <v>846910</v>
      </c>
      <c r="G6" s="462">
        <f t="shared" si="0"/>
        <v>2770027</v>
      </c>
      <c r="H6" s="462">
        <f t="shared" si="0"/>
        <v>707258</v>
      </c>
      <c r="I6" s="462">
        <f t="shared" si="0"/>
        <v>2529197</v>
      </c>
      <c r="J6" s="462">
        <f t="shared" si="0"/>
        <v>157148</v>
      </c>
      <c r="K6" s="462">
        <f t="shared" si="0"/>
        <v>1940495</v>
      </c>
      <c r="L6" s="462">
        <f t="shared" si="0"/>
        <v>-228330</v>
      </c>
      <c r="M6" s="462">
        <f t="shared" si="0"/>
        <v>1712165</v>
      </c>
      <c r="N6" s="462">
        <f t="shared" si="0"/>
        <v>-89727</v>
      </c>
      <c r="O6" s="462">
        <f t="shared" si="0"/>
        <v>-46352</v>
      </c>
      <c r="P6" s="462">
        <f t="shared" si="0"/>
        <v>-3025</v>
      </c>
      <c r="Q6" s="462">
        <f t="shared" si="0"/>
        <v>0</v>
      </c>
      <c r="R6" s="463">
        <f t="shared" si="0"/>
        <v>1668262</v>
      </c>
    </row>
    <row r="7" spans="1:18" ht="12.75" customHeight="1">
      <c r="A7" s="444"/>
      <c r="B7" s="457"/>
      <c r="C7" s="458"/>
      <c r="D7" s="464"/>
      <c r="E7" s="459"/>
      <c r="F7" s="458"/>
      <c r="G7" s="460"/>
      <c r="H7" s="460"/>
      <c r="I7" s="460"/>
      <c r="J7" s="460"/>
      <c r="K7" s="460"/>
      <c r="L7" s="460"/>
      <c r="M7" s="460"/>
      <c r="N7" s="459"/>
      <c r="O7" s="459"/>
      <c r="P7" s="459"/>
      <c r="Q7" s="459"/>
      <c r="R7" s="697"/>
    </row>
    <row r="8" spans="1:18" ht="12.75" customHeight="1">
      <c r="A8" s="444"/>
      <c r="B8" s="461" t="s">
        <v>6</v>
      </c>
      <c r="C8" s="462">
        <f aca="true" t="shared" si="1" ref="C8:R8">SUM(C9:C19)</f>
        <v>1926003</v>
      </c>
      <c r="D8" s="462">
        <f t="shared" si="1"/>
        <v>1570612</v>
      </c>
      <c r="E8" s="462">
        <f t="shared" si="1"/>
        <v>355391</v>
      </c>
      <c r="F8" s="462">
        <f t="shared" si="1"/>
        <v>-104882</v>
      </c>
      <c r="G8" s="462">
        <f t="shared" si="1"/>
        <v>1821121</v>
      </c>
      <c r="H8" s="462">
        <f t="shared" si="1"/>
        <v>-10805</v>
      </c>
      <c r="I8" s="462">
        <f t="shared" si="1"/>
        <v>1810316</v>
      </c>
      <c r="J8" s="462">
        <f t="shared" si="1"/>
        <v>-237690</v>
      </c>
      <c r="K8" s="462">
        <f t="shared" si="1"/>
        <v>1572626</v>
      </c>
      <c r="L8" s="462">
        <f t="shared" si="1"/>
        <v>-160859</v>
      </c>
      <c r="M8" s="462">
        <f t="shared" si="1"/>
        <v>1411767</v>
      </c>
      <c r="N8" s="462">
        <f t="shared" si="1"/>
        <v>-76140</v>
      </c>
      <c r="O8" s="462">
        <f t="shared" si="1"/>
        <v>-42346</v>
      </c>
      <c r="P8" s="462">
        <f t="shared" si="1"/>
        <v>-2500</v>
      </c>
      <c r="Q8" s="462">
        <f t="shared" si="1"/>
        <v>0</v>
      </c>
      <c r="R8" s="463">
        <f t="shared" si="1"/>
        <v>1411599</v>
      </c>
    </row>
    <row r="9" spans="1:18" ht="12.75" customHeight="1">
      <c r="A9" s="465" t="s">
        <v>48</v>
      </c>
      <c r="B9" s="457" t="s">
        <v>7</v>
      </c>
      <c r="C9" s="458">
        <v>130400</v>
      </c>
      <c r="D9" s="464">
        <f>41138+40430</f>
        <v>81568</v>
      </c>
      <c r="E9" s="464">
        <f>C9-D9</f>
        <v>48832</v>
      </c>
      <c r="F9" s="458">
        <v>572</v>
      </c>
      <c r="G9" s="458">
        <f>C9+F9</f>
        <v>130972</v>
      </c>
      <c r="H9" s="458">
        <f>-18916-11270-7048</f>
        <v>-37234</v>
      </c>
      <c r="I9" s="458">
        <f>G9+H9</f>
        <v>93738</v>
      </c>
      <c r="J9" s="458">
        <f>-8000-20259</f>
        <v>-28259</v>
      </c>
      <c r="K9" s="458">
        <f>I9+J9</f>
        <v>65479</v>
      </c>
      <c r="L9" s="458">
        <v>-14296</v>
      </c>
      <c r="M9" s="458">
        <f>K9+L9</f>
        <v>51183</v>
      </c>
      <c r="N9" s="466"/>
      <c r="O9" s="466"/>
      <c r="P9" s="466"/>
      <c r="Q9" s="466"/>
      <c r="R9" s="697">
        <f>51183-94</f>
        <v>51089</v>
      </c>
    </row>
    <row r="10" spans="1:18" ht="12.75" customHeight="1">
      <c r="A10" s="465" t="s">
        <v>48</v>
      </c>
      <c r="B10" s="457" t="s">
        <v>745</v>
      </c>
      <c r="C10" s="458">
        <v>1049854</v>
      </c>
      <c r="D10" s="464">
        <f>622234+108756</f>
        <v>730990</v>
      </c>
      <c r="E10" s="464">
        <f aca="true" t="shared" si="2" ref="E10:E19">C10-D10</f>
        <v>318864</v>
      </c>
      <c r="F10" s="458">
        <f>-6387+250</f>
        <v>-6137</v>
      </c>
      <c r="G10" s="458">
        <f aca="true" t="shared" si="3" ref="G10:G19">C10+F10</f>
        <v>1043717</v>
      </c>
      <c r="H10" s="458">
        <f>161136-13348-22696</f>
        <v>125092</v>
      </c>
      <c r="I10" s="458">
        <f aca="true" t="shared" si="4" ref="I10:I19">G10+H10</f>
        <v>1168809</v>
      </c>
      <c r="J10" s="458">
        <f>-102315+300-14566-26418-1602-433</f>
        <v>-145034</v>
      </c>
      <c r="K10" s="458">
        <f aca="true" t="shared" si="5" ref="K10:K19">I10+J10</f>
        <v>1023775</v>
      </c>
      <c r="L10" s="458">
        <f>-57625-22829-2500</f>
        <v>-82954</v>
      </c>
      <c r="M10" s="458">
        <f aca="true" t="shared" si="6" ref="M10:M19">K10+L10</f>
        <v>940821</v>
      </c>
      <c r="N10" s="466">
        <v>-57625</v>
      </c>
      <c r="O10" s="466">
        <v>-22829</v>
      </c>
      <c r="P10" s="466">
        <v>-2500</v>
      </c>
      <c r="Q10" s="466"/>
      <c r="R10" s="697">
        <f>940821-1</f>
        <v>940820</v>
      </c>
    </row>
    <row r="11" spans="1:18" ht="12.75" customHeight="1">
      <c r="A11" s="465" t="s">
        <v>48</v>
      </c>
      <c r="B11" s="457" t="s">
        <v>19</v>
      </c>
      <c r="C11" s="458">
        <v>5000</v>
      </c>
      <c r="D11" s="464"/>
      <c r="E11" s="464">
        <f t="shared" si="2"/>
        <v>5000</v>
      </c>
      <c r="F11" s="458"/>
      <c r="G11" s="458">
        <f t="shared" si="3"/>
        <v>5000</v>
      </c>
      <c r="H11" s="458"/>
      <c r="I11" s="458">
        <f t="shared" si="4"/>
        <v>5000</v>
      </c>
      <c r="J11" s="458"/>
      <c r="K11" s="458">
        <f t="shared" si="5"/>
        <v>5000</v>
      </c>
      <c r="L11" s="458">
        <f>-3000-2000</f>
        <v>-5000</v>
      </c>
      <c r="M11" s="458">
        <f t="shared" si="6"/>
        <v>0</v>
      </c>
      <c r="N11" s="466">
        <v>-3000</v>
      </c>
      <c r="O11" s="466">
        <v>-2000</v>
      </c>
      <c r="P11" s="466"/>
      <c r="Q11" s="466"/>
      <c r="R11" s="697">
        <v>0</v>
      </c>
    </row>
    <row r="12" spans="1:18" ht="26.25" customHeight="1">
      <c r="A12" s="465" t="s">
        <v>48</v>
      </c>
      <c r="B12" s="457" t="s">
        <v>8</v>
      </c>
      <c r="C12" s="458">
        <v>34492</v>
      </c>
      <c r="D12" s="464">
        <f>27961+6498</f>
        <v>34459</v>
      </c>
      <c r="E12" s="464">
        <f t="shared" si="2"/>
        <v>33</v>
      </c>
      <c r="F12" s="458">
        <f>425-5883</f>
        <v>-5458</v>
      </c>
      <c r="G12" s="458">
        <f t="shared" si="3"/>
        <v>29034</v>
      </c>
      <c r="H12" s="458"/>
      <c r="I12" s="458">
        <f t="shared" si="4"/>
        <v>29034</v>
      </c>
      <c r="J12" s="458">
        <v>-12000</v>
      </c>
      <c r="K12" s="458">
        <f t="shared" si="5"/>
        <v>17034</v>
      </c>
      <c r="L12" s="458">
        <v>-1748</v>
      </c>
      <c r="M12" s="458">
        <f t="shared" si="6"/>
        <v>15286</v>
      </c>
      <c r="N12" s="466"/>
      <c r="O12" s="466"/>
      <c r="P12" s="466"/>
      <c r="Q12" s="466"/>
      <c r="R12" s="697">
        <v>15286</v>
      </c>
    </row>
    <row r="13" spans="1:18" ht="12" customHeight="1">
      <c r="A13" s="465" t="s">
        <v>48</v>
      </c>
      <c r="B13" s="457" t="s">
        <v>10</v>
      </c>
      <c r="C13" s="458">
        <v>45350</v>
      </c>
      <c r="D13" s="464">
        <f>64612</f>
        <v>64612</v>
      </c>
      <c r="E13" s="464">
        <f t="shared" si="2"/>
        <v>-19262</v>
      </c>
      <c r="F13" s="458">
        <v>275</v>
      </c>
      <c r="G13" s="458">
        <f t="shared" si="3"/>
        <v>45625</v>
      </c>
      <c r="H13" s="458"/>
      <c r="I13" s="458">
        <f t="shared" si="4"/>
        <v>45625</v>
      </c>
      <c r="J13" s="458"/>
      <c r="K13" s="458">
        <f t="shared" si="5"/>
        <v>45625</v>
      </c>
      <c r="L13" s="458"/>
      <c r="M13" s="458">
        <f t="shared" si="6"/>
        <v>45625</v>
      </c>
      <c r="N13" s="466"/>
      <c r="O13" s="466"/>
      <c r="P13" s="466"/>
      <c r="Q13" s="466"/>
      <c r="R13" s="697">
        <v>45608</v>
      </c>
    </row>
    <row r="14" spans="1:18" ht="12.75" customHeight="1">
      <c r="A14" s="465" t="s">
        <v>48</v>
      </c>
      <c r="B14" s="457" t="s">
        <v>9</v>
      </c>
      <c r="C14" s="458">
        <v>87500</v>
      </c>
      <c r="D14" s="464">
        <v>90625</v>
      </c>
      <c r="E14" s="464">
        <f t="shared" si="2"/>
        <v>-3125</v>
      </c>
      <c r="F14" s="458">
        <v>-87500</v>
      </c>
      <c r="G14" s="458">
        <f t="shared" si="3"/>
        <v>0</v>
      </c>
      <c r="H14" s="458"/>
      <c r="I14" s="458">
        <f t="shared" si="4"/>
        <v>0</v>
      </c>
      <c r="J14" s="458"/>
      <c r="K14" s="458">
        <f t="shared" si="5"/>
        <v>0</v>
      </c>
      <c r="L14" s="458"/>
      <c r="M14" s="458">
        <f t="shared" si="6"/>
        <v>0</v>
      </c>
      <c r="N14" s="466"/>
      <c r="O14" s="466"/>
      <c r="P14" s="466"/>
      <c r="Q14" s="466"/>
      <c r="R14" s="697">
        <v>0</v>
      </c>
    </row>
    <row r="15" spans="1:18" ht="26.25" customHeight="1">
      <c r="A15" s="465" t="s">
        <v>17</v>
      </c>
      <c r="B15" s="457" t="s">
        <v>446</v>
      </c>
      <c r="C15" s="458">
        <v>17378</v>
      </c>
      <c r="D15" s="464">
        <v>17987</v>
      </c>
      <c r="E15" s="464">
        <f t="shared" si="2"/>
        <v>-609</v>
      </c>
      <c r="F15" s="458"/>
      <c r="G15" s="458">
        <f t="shared" si="3"/>
        <v>17378</v>
      </c>
      <c r="H15" s="458">
        <v>-10217</v>
      </c>
      <c r="I15" s="458">
        <f t="shared" si="4"/>
        <v>7161</v>
      </c>
      <c r="J15" s="458"/>
      <c r="K15" s="458">
        <f t="shared" si="5"/>
        <v>7161</v>
      </c>
      <c r="L15" s="458"/>
      <c r="M15" s="458">
        <f t="shared" si="6"/>
        <v>7161</v>
      </c>
      <c r="N15" s="466"/>
      <c r="O15" s="466"/>
      <c r="P15" s="466"/>
      <c r="Q15" s="466"/>
      <c r="R15" s="697">
        <v>7161</v>
      </c>
    </row>
    <row r="16" spans="1:18" ht="12.75" customHeight="1">
      <c r="A16" s="465" t="s">
        <v>48</v>
      </c>
      <c r="B16" s="457" t="s">
        <v>74</v>
      </c>
      <c r="C16" s="458">
        <v>35494</v>
      </c>
      <c r="D16" s="464">
        <v>35494</v>
      </c>
      <c r="E16" s="464">
        <f t="shared" si="2"/>
        <v>0</v>
      </c>
      <c r="F16" s="458"/>
      <c r="G16" s="458">
        <f t="shared" si="3"/>
        <v>35494</v>
      </c>
      <c r="H16" s="458"/>
      <c r="I16" s="458">
        <f t="shared" si="4"/>
        <v>35494</v>
      </c>
      <c r="J16" s="458"/>
      <c r="K16" s="458">
        <f t="shared" si="5"/>
        <v>35494</v>
      </c>
      <c r="L16" s="458">
        <f>-3324-2126</f>
        <v>-5450</v>
      </c>
      <c r="M16" s="458">
        <f t="shared" si="6"/>
        <v>30044</v>
      </c>
      <c r="N16" s="466">
        <v>-3324</v>
      </c>
      <c r="O16" s="466">
        <v>-2126</v>
      </c>
      <c r="P16" s="466"/>
      <c r="Q16" s="466"/>
      <c r="R16" s="697">
        <v>30044</v>
      </c>
    </row>
    <row r="17" spans="1:18" ht="12.75" customHeight="1">
      <c r="A17" s="465" t="s">
        <v>48</v>
      </c>
      <c r="B17" s="457" t="s">
        <v>137</v>
      </c>
      <c r="C17" s="458">
        <v>271022</v>
      </c>
      <c r="D17" s="464">
        <v>267151</v>
      </c>
      <c r="E17" s="464">
        <f t="shared" si="2"/>
        <v>3871</v>
      </c>
      <c r="F17" s="458">
        <v>-2768</v>
      </c>
      <c r="G17" s="458">
        <f t="shared" si="3"/>
        <v>268254</v>
      </c>
      <c r="H17" s="458">
        <f>-2844-36302</f>
        <v>-39146</v>
      </c>
      <c r="I17" s="458">
        <f t="shared" si="4"/>
        <v>229108</v>
      </c>
      <c r="J17" s="458">
        <v>-12397</v>
      </c>
      <c r="K17" s="458">
        <f t="shared" si="5"/>
        <v>216711</v>
      </c>
      <c r="L17" s="458">
        <f>-12191-15391</f>
        <v>-27582</v>
      </c>
      <c r="M17" s="458">
        <f t="shared" si="6"/>
        <v>189129</v>
      </c>
      <c r="N17" s="466">
        <v>-12191</v>
      </c>
      <c r="O17" s="466">
        <v>-15391</v>
      </c>
      <c r="P17" s="466"/>
      <c r="Q17" s="466"/>
      <c r="R17" s="697">
        <v>189129</v>
      </c>
    </row>
    <row r="18" spans="1:18" ht="12.75" customHeight="1">
      <c r="A18" s="465" t="s">
        <v>48</v>
      </c>
      <c r="B18" s="457" t="s">
        <v>138</v>
      </c>
      <c r="C18" s="458">
        <v>227553</v>
      </c>
      <c r="D18" s="464">
        <v>225766</v>
      </c>
      <c r="E18" s="464">
        <f t="shared" si="2"/>
        <v>1787</v>
      </c>
      <c r="F18" s="458">
        <v>-3866</v>
      </c>
      <c r="G18" s="458">
        <f t="shared" si="3"/>
        <v>223687</v>
      </c>
      <c r="H18" s="458">
        <f>-13854-35446</f>
        <v>-49300</v>
      </c>
      <c r="I18" s="458">
        <f t="shared" si="4"/>
        <v>174387</v>
      </c>
      <c r="J18" s="458">
        <v>-40000</v>
      </c>
      <c r="K18" s="458">
        <f t="shared" si="5"/>
        <v>134387</v>
      </c>
      <c r="L18" s="458">
        <v>-3020</v>
      </c>
      <c r="M18" s="458">
        <f t="shared" si="6"/>
        <v>131367</v>
      </c>
      <c r="N18" s="466"/>
      <c r="O18" s="466"/>
      <c r="P18" s="466"/>
      <c r="Q18" s="466"/>
      <c r="R18" s="697">
        <v>131367</v>
      </c>
    </row>
    <row r="19" spans="1:18" ht="12.75" customHeight="1">
      <c r="A19" s="465" t="s">
        <v>17</v>
      </c>
      <c r="B19" s="457" t="s">
        <v>73</v>
      </c>
      <c r="C19" s="458">
        <v>21960</v>
      </c>
      <c r="D19" s="464">
        <v>21960</v>
      </c>
      <c r="E19" s="464">
        <f t="shared" si="2"/>
        <v>0</v>
      </c>
      <c r="F19" s="458"/>
      <c r="G19" s="458">
        <f t="shared" si="3"/>
        <v>21960</v>
      </c>
      <c r="H19" s="458"/>
      <c r="I19" s="458">
        <f t="shared" si="4"/>
        <v>21960</v>
      </c>
      <c r="J19" s="458"/>
      <c r="K19" s="458">
        <f t="shared" si="5"/>
        <v>21960</v>
      </c>
      <c r="L19" s="458">
        <v>-20809</v>
      </c>
      <c r="M19" s="458">
        <f t="shared" si="6"/>
        <v>1151</v>
      </c>
      <c r="N19" s="466"/>
      <c r="O19" s="466"/>
      <c r="P19" s="466"/>
      <c r="Q19" s="466"/>
      <c r="R19" s="697">
        <v>1095</v>
      </c>
    </row>
    <row r="20" spans="1:18" ht="12.75" customHeight="1">
      <c r="A20" s="465"/>
      <c r="B20" s="457"/>
      <c r="C20" s="458"/>
      <c r="D20" s="464"/>
      <c r="E20" s="466"/>
      <c r="F20" s="458"/>
      <c r="G20" s="460"/>
      <c r="H20" s="460"/>
      <c r="I20" s="460"/>
      <c r="J20" s="460"/>
      <c r="K20" s="460"/>
      <c r="L20" s="460"/>
      <c r="M20" s="460"/>
      <c r="N20" s="466"/>
      <c r="O20" s="466"/>
      <c r="P20" s="466"/>
      <c r="Q20" s="466"/>
      <c r="R20" s="697"/>
    </row>
    <row r="21" spans="1:18" ht="12.75" customHeight="1">
      <c r="A21" s="465"/>
      <c r="B21" s="461" t="s">
        <v>11</v>
      </c>
      <c r="C21" s="462">
        <f>SUM(C22:C24)</f>
        <v>9239</v>
      </c>
      <c r="D21" s="462">
        <f>SUM(D22:D24)</f>
        <v>0</v>
      </c>
      <c r="E21" s="462">
        <f>SUM(E22:E24)</f>
        <v>0</v>
      </c>
      <c r="F21" s="462">
        <f>SUM(F22:F28)</f>
        <v>13658</v>
      </c>
      <c r="G21" s="462">
        <f>SUM(G22:G28)</f>
        <v>22897</v>
      </c>
      <c r="H21" s="462">
        <f>SUM(H22:H31)</f>
        <v>51602</v>
      </c>
      <c r="I21" s="462">
        <f>SUM(I22:I31)</f>
        <v>74499</v>
      </c>
      <c r="J21" s="462">
        <f aca="true" t="shared" si="7" ref="J21:R21">SUM(J22:J32)</f>
        <v>27552</v>
      </c>
      <c r="K21" s="462">
        <f t="shared" si="7"/>
        <v>102051</v>
      </c>
      <c r="L21" s="462">
        <f t="shared" si="7"/>
        <v>6</v>
      </c>
      <c r="M21" s="462">
        <f t="shared" si="7"/>
        <v>102057</v>
      </c>
      <c r="N21" s="462">
        <f t="shared" si="7"/>
        <v>0</v>
      </c>
      <c r="O21" s="462">
        <f t="shared" si="7"/>
        <v>0</v>
      </c>
      <c r="P21" s="462">
        <f t="shared" si="7"/>
        <v>0</v>
      </c>
      <c r="Q21" s="462">
        <f t="shared" si="7"/>
        <v>0</v>
      </c>
      <c r="R21" s="463">
        <f t="shared" si="7"/>
        <v>83385</v>
      </c>
    </row>
    <row r="22" spans="1:18" ht="12.75" customHeight="1">
      <c r="A22" s="465" t="s">
        <v>48</v>
      </c>
      <c r="B22" s="457" t="s">
        <v>70</v>
      </c>
      <c r="C22" s="458">
        <v>8500</v>
      </c>
      <c r="D22" s="464"/>
      <c r="E22" s="466"/>
      <c r="F22" s="458"/>
      <c r="G22" s="458">
        <f>C22+F22</f>
        <v>8500</v>
      </c>
      <c r="H22" s="458"/>
      <c r="I22" s="458">
        <f>G22+H22</f>
        <v>8500</v>
      </c>
      <c r="J22" s="458"/>
      <c r="K22" s="458">
        <f>I22+J22</f>
        <v>8500</v>
      </c>
      <c r="L22" s="458"/>
      <c r="M22" s="458">
        <f>K22+L22</f>
        <v>8500</v>
      </c>
      <c r="N22" s="466"/>
      <c r="O22" s="466"/>
      <c r="P22" s="466"/>
      <c r="Q22" s="466"/>
      <c r="R22" s="697">
        <v>8500</v>
      </c>
    </row>
    <row r="23" spans="1:18" ht="12.75" customHeight="1">
      <c r="A23" s="465" t="s">
        <v>48</v>
      </c>
      <c r="B23" s="457" t="s">
        <v>655</v>
      </c>
      <c r="C23" s="458">
        <v>726</v>
      </c>
      <c r="D23" s="464"/>
      <c r="E23" s="466"/>
      <c r="F23" s="458"/>
      <c r="G23" s="458">
        <f aca="true" t="shared" si="8" ref="G23:G28">C23+F23</f>
        <v>726</v>
      </c>
      <c r="H23" s="458"/>
      <c r="I23" s="458">
        <f aca="true" t="shared" si="9" ref="I23:I31">G23+H23</f>
        <v>726</v>
      </c>
      <c r="J23" s="458"/>
      <c r="K23" s="458">
        <f aca="true" t="shared" si="10" ref="K23:K32">I23+J23</f>
        <v>726</v>
      </c>
      <c r="L23" s="458"/>
      <c r="M23" s="458">
        <f aca="true" t="shared" si="11" ref="M23:M32">K23+L23</f>
        <v>726</v>
      </c>
      <c r="N23" s="466"/>
      <c r="O23" s="466"/>
      <c r="P23" s="466"/>
      <c r="Q23" s="466"/>
      <c r="R23" s="697">
        <v>0</v>
      </c>
    </row>
    <row r="24" spans="1:18" ht="12.75" customHeight="1">
      <c r="A24" s="465" t="s">
        <v>48</v>
      </c>
      <c r="B24" s="457" t="s">
        <v>71</v>
      </c>
      <c r="C24" s="458">
        <v>13</v>
      </c>
      <c r="D24" s="464"/>
      <c r="E24" s="466"/>
      <c r="F24" s="458"/>
      <c r="G24" s="458">
        <f t="shared" si="8"/>
        <v>13</v>
      </c>
      <c r="H24" s="458"/>
      <c r="I24" s="458">
        <f t="shared" si="9"/>
        <v>13</v>
      </c>
      <c r="J24" s="458"/>
      <c r="K24" s="458">
        <f t="shared" si="10"/>
        <v>13</v>
      </c>
      <c r="L24" s="458"/>
      <c r="M24" s="458">
        <f t="shared" si="11"/>
        <v>13</v>
      </c>
      <c r="N24" s="466"/>
      <c r="O24" s="466"/>
      <c r="P24" s="466"/>
      <c r="Q24" s="466"/>
      <c r="R24" s="697">
        <v>10</v>
      </c>
    </row>
    <row r="25" spans="1:18" ht="12.75" customHeight="1">
      <c r="A25" s="465"/>
      <c r="B25" s="457" t="s">
        <v>664</v>
      </c>
      <c r="C25" s="458"/>
      <c r="D25" s="464"/>
      <c r="E25" s="466"/>
      <c r="F25" s="458">
        <v>5936</v>
      </c>
      <c r="G25" s="458">
        <f t="shared" si="8"/>
        <v>5936</v>
      </c>
      <c r="H25" s="458"/>
      <c r="I25" s="458">
        <f t="shared" si="9"/>
        <v>5936</v>
      </c>
      <c r="J25" s="458"/>
      <c r="K25" s="458">
        <f t="shared" si="10"/>
        <v>5936</v>
      </c>
      <c r="L25" s="458"/>
      <c r="M25" s="458">
        <f t="shared" si="11"/>
        <v>5936</v>
      </c>
      <c r="N25" s="466"/>
      <c r="O25" s="466"/>
      <c r="P25" s="466"/>
      <c r="Q25" s="466"/>
      <c r="R25" s="697">
        <v>0</v>
      </c>
    </row>
    <row r="26" spans="1:18" ht="12.75" customHeight="1">
      <c r="A26" s="465"/>
      <c r="B26" s="457" t="s">
        <v>665</v>
      </c>
      <c r="C26" s="458"/>
      <c r="D26" s="464"/>
      <c r="E26" s="466"/>
      <c r="F26" s="458">
        <f>791+724</f>
        <v>1515</v>
      </c>
      <c r="G26" s="458">
        <f t="shared" si="8"/>
        <v>1515</v>
      </c>
      <c r="H26" s="458"/>
      <c r="I26" s="458">
        <f t="shared" si="9"/>
        <v>1515</v>
      </c>
      <c r="J26" s="458"/>
      <c r="K26" s="458">
        <f t="shared" si="10"/>
        <v>1515</v>
      </c>
      <c r="L26" s="458"/>
      <c r="M26" s="458">
        <f t="shared" si="11"/>
        <v>1515</v>
      </c>
      <c r="N26" s="466"/>
      <c r="O26" s="466"/>
      <c r="P26" s="466"/>
      <c r="Q26" s="466"/>
      <c r="R26" s="697">
        <v>1515</v>
      </c>
    </row>
    <row r="27" spans="1:18" ht="12.75" customHeight="1">
      <c r="A27" s="465"/>
      <c r="B27" s="457" t="s">
        <v>666</v>
      </c>
      <c r="C27" s="458"/>
      <c r="D27" s="464"/>
      <c r="E27" s="466"/>
      <c r="F27" s="458">
        <v>5207</v>
      </c>
      <c r="G27" s="458">
        <f t="shared" si="8"/>
        <v>5207</v>
      </c>
      <c r="H27" s="458"/>
      <c r="I27" s="458">
        <f t="shared" si="9"/>
        <v>5207</v>
      </c>
      <c r="J27" s="458"/>
      <c r="K27" s="458">
        <f t="shared" si="10"/>
        <v>5207</v>
      </c>
      <c r="L27" s="458"/>
      <c r="M27" s="458">
        <f t="shared" si="11"/>
        <v>5207</v>
      </c>
      <c r="N27" s="466"/>
      <c r="O27" s="466"/>
      <c r="P27" s="466"/>
      <c r="Q27" s="466"/>
      <c r="R27" s="697">
        <v>5207</v>
      </c>
    </row>
    <row r="28" spans="1:18" ht="12.75" customHeight="1">
      <c r="A28" s="465"/>
      <c r="B28" s="457" t="s">
        <v>667</v>
      </c>
      <c r="C28" s="458"/>
      <c r="D28" s="464"/>
      <c r="E28" s="466"/>
      <c r="F28" s="458">
        <v>1000</v>
      </c>
      <c r="G28" s="458">
        <f t="shared" si="8"/>
        <v>1000</v>
      </c>
      <c r="H28" s="458"/>
      <c r="I28" s="458">
        <f t="shared" si="9"/>
        <v>1000</v>
      </c>
      <c r="J28" s="458"/>
      <c r="K28" s="458">
        <f t="shared" si="10"/>
        <v>1000</v>
      </c>
      <c r="L28" s="458">
        <v>6</v>
      </c>
      <c r="M28" s="458">
        <f t="shared" si="11"/>
        <v>1006</v>
      </c>
      <c r="N28" s="466"/>
      <c r="O28" s="466"/>
      <c r="P28" s="466"/>
      <c r="Q28" s="466"/>
      <c r="R28" s="697">
        <v>1006</v>
      </c>
    </row>
    <row r="29" spans="1:18" ht="12.75" customHeight="1">
      <c r="A29" s="465"/>
      <c r="B29" s="457" t="s">
        <v>746</v>
      </c>
      <c r="C29" s="458"/>
      <c r="D29" s="464"/>
      <c r="E29" s="466"/>
      <c r="F29" s="458"/>
      <c r="G29" s="458"/>
      <c r="H29" s="458">
        <v>5660</v>
      </c>
      <c r="I29" s="458">
        <f t="shared" si="9"/>
        <v>5660</v>
      </c>
      <c r="J29" s="458"/>
      <c r="K29" s="458">
        <f t="shared" si="10"/>
        <v>5660</v>
      </c>
      <c r="L29" s="458"/>
      <c r="M29" s="458">
        <f t="shared" si="11"/>
        <v>5660</v>
      </c>
      <c r="N29" s="466"/>
      <c r="O29" s="466"/>
      <c r="P29" s="466"/>
      <c r="Q29" s="466"/>
      <c r="R29" s="697">
        <v>0</v>
      </c>
    </row>
    <row r="30" spans="1:18" ht="26.25" customHeight="1">
      <c r="A30" s="465"/>
      <c r="B30" s="457" t="s">
        <v>747</v>
      </c>
      <c r="C30" s="458"/>
      <c r="D30" s="464"/>
      <c r="E30" s="466"/>
      <c r="F30" s="458"/>
      <c r="G30" s="458"/>
      <c r="H30" s="458">
        <v>4442</v>
      </c>
      <c r="I30" s="458">
        <f t="shared" si="9"/>
        <v>4442</v>
      </c>
      <c r="J30" s="458"/>
      <c r="K30" s="458">
        <f t="shared" si="10"/>
        <v>4442</v>
      </c>
      <c r="L30" s="458"/>
      <c r="M30" s="458">
        <f t="shared" si="11"/>
        <v>4442</v>
      </c>
      <c r="N30" s="466"/>
      <c r="O30" s="466"/>
      <c r="P30" s="466"/>
      <c r="Q30" s="466"/>
      <c r="R30" s="697">
        <v>0</v>
      </c>
    </row>
    <row r="31" spans="1:18" ht="26.25" customHeight="1">
      <c r="A31" s="465"/>
      <c r="B31" s="457" t="s">
        <v>1022</v>
      </c>
      <c r="C31" s="458"/>
      <c r="D31" s="464"/>
      <c r="E31" s="466"/>
      <c r="F31" s="458"/>
      <c r="G31" s="458"/>
      <c r="H31" s="458">
        <v>41500</v>
      </c>
      <c r="I31" s="458">
        <f t="shared" si="9"/>
        <v>41500</v>
      </c>
      <c r="J31" s="458">
        <v>23742</v>
      </c>
      <c r="K31" s="458">
        <f t="shared" si="10"/>
        <v>65242</v>
      </c>
      <c r="L31" s="458"/>
      <c r="M31" s="458">
        <f t="shared" si="11"/>
        <v>65242</v>
      </c>
      <c r="N31" s="466"/>
      <c r="O31" s="466"/>
      <c r="P31" s="466"/>
      <c r="Q31" s="466"/>
      <c r="R31" s="697">
        <v>65242</v>
      </c>
    </row>
    <row r="32" spans="1:18" ht="12.75" customHeight="1">
      <c r="A32" s="465"/>
      <c r="B32" s="457" t="s">
        <v>801</v>
      </c>
      <c r="C32" s="458"/>
      <c r="D32" s="464"/>
      <c r="E32" s="466"/>
      <c r="F32" s="458"/>
      <c r="G32" s="458"/>
      <c r="H32" s="458"/>
      <c r="I32" s="458"/>
      <c r="J32" s="458">
        <v>3810</v>
      </c>
      <c r="K32" s="458">
        <f t="shared" si="10"/>
        <v>3810</v>
      </c>
      <c r="L32" s="458"/>
      <c r="M32" s="458">
        <f t="shared" si="11"/>
        <v>3810</v>
      </c>
      <c r="N32" s="466"/>
      <c r="O32" s="466"/>
      <c r="P32" s="466"/>
      <c r="Q32" s="466"/>
      <c r="R32" s="697">
        <v>1905</v>
      </c>
    </row>
    <row r="33" spans="1:18" ht="12.75" customHeight="1">
      <c r="A33" s="465"/>
      <c r="B33" s="457"/>
      <c r="C33" s="458"/>
      <c r="D33" s="464"/>
      <c r="E33" s="466"/>
      <c r="F33" s="458"/>
      <c r="G33" s="460"/>
      <c r="H33" s="460"/>
      <c r="I33" s="460"/>
      <c r="J33" s="460"/>
      <c r="K33" s="460"/>
      <c r="L33" s="460"/>
      <c r="M33" s="460"/>
      <c r="N33" s="466"/>
      <c r="O33" s="466"/>
      <c r="P33" s="466"/>
      <c r="Q33" s="466"/>
      <c r="R33" s="697"/>
    </row>
    <row r="34" spans="1:18" ht="12.75" customHeight="1">
      <c r="A34" s="465" t="s">
        <v>48</v>
      </c>
      <c r="B34" s="461" t="s">
        <v>47</v>
      </c>
      <c r="C34" s="462">
        <f>SUM(C35:C81)</f>
        <v>257004</v>
      </c>
      <c r="D34" s="462">
        <f aca="true" t="shared" si="12" ref="D34:J34">SUM(D35:K81)</f>
        <v>807270</v>
      </c>
      <c r="E34" s="462">
        <f t="shared" si="12"/>
        <v>739793</v>
      </c>
      <c r="F34" s="462">
        <f t="shared" si="12"/>
        <v>938134</v>
      </c>
      <c r="G34" s="462">
        <f t="shared" si="12"/>
        <v>926009</v>
      </c>
      <c r="H34" s="462">
        <f t="shared" si="12"/>
        <v>666461</v>
      </c>
      <c r="I34" s="462">
        <f t="shared" si="12"/>
        <v>644382</v>
      </c>
      <c r="J34" s="462">
        <f t="shared" si="12"/>
        <v>367286</v>
      </c>
      <c r="K34" s="462">
        <f aca="true" t="shared" si="13" ref="K34:R34">SUM(K35:K81)</f>
        <v>265818</v>
      </c>
      <c r="L34" s="462">
        <f t="shared" si="13"/>
        <v>-67477</v>
      </c>
      <c r="M34" s="462">
        <f t="shared" si="13"/>
        <v>198341</v>
      </c>
      <c r="N34" s="462">
        <f t="shared" si="13"/>
        <v>-13587</v>
      </c>
      <c r="O34" s="462">
        <f t="shared" si="13"/>
        <v>-4006</v>
      </c>
      <c r="P34" s="462">
        <f t="shared" si="13"/>
        <v>-525</v>
      </c>
      <c r="Q34" s="462">
        <f t="shared" si="13"/>
        <v>0</v>
      </c>
      <c r="R34" s="463">
        <f t="shared" si="13"/>
        <v>173278</v>
      </c>
    </row>
    <row r="35" spans="1:18" ht="12.75" customHeight="1">
      <c r="A35" s="465" t="s">
        <v>48</v>
      </c>
      <c r="B35" s="457" t="s">
        <v>49</v>
      </c>
      <c r="C35" s="458">
        <v>5072</v>
      </c>
      <c r="D35" s="464"/>
      <c r="E35" s="466"/>
      <c r="F35" s="458"/>
      <c r="G35" s="458">
        <f>C35+F35</f>
        <v>5072</v>
      </c>
      <c r="H35" s="458"/>
      <c r="I35" s="458">
        <f>G35+H35</f>
        <v>5072</v>
      </c>
      <c r="J35" s="458"/>
      <c r="K35" s="458">
        <f>J35+I35</f>
        <v>5072</v>
      </c>
      <c r="L35" s="458">
        <v>-4754</v>
      </c>
      <c r="M35" s="458">
        <f>K35+L35</f>
        <v>318</v>
      </c>
      <c r="N35" s="466"/>
      <c r="O35" s="466"/>
      <c r="P35" s="466"/>
      <c r="Q35" s="466"/>
      <c r="R35" s="697">
        <v>318</v>
      </c>
    </row>
    <row r="36" spans="1:18" ht="12.75" customHeight="1">
      <c r="A36" s="465" t="s">
        <v>48</v>
      </c>
      <c r="B36" s="457" t="s">
        <v>18</v>
      </c>
      <c r="C36" s="458">
        <v>5500</v>
      </c>
      <c r="D36" s="464"/>
      <c r="E36" s="466"/>
      <c r="F36" s="458"/>
      <c r="G36" s="458">
        <f aca="true" t="shared" si="14" ref="G36:G58">C36+F36</f>
        <v>5500</v>
      </c>
      <c r="H36" s="458"/>
      <c r="I36" s="458">
        <f aca="true" t="shared" si="15" ref="I36:I70">G36+H36</f>
        <v>5500</v>
      </c>
      <c r="J36" s="458">
        <v>-5500</v>
      </c>
      <c r="K36" s="458">
        <f aca="true" t="shared" si="16" ref="K36:K79">J36+I36</f>
        <v>0</v>
      </c>
      <c r="L36" s="458"/>
      <c r="M36" s="458">
        <f aca="true" t="shared" si="17" ref="M36:M81">K36+L36</f>
        <v>0</v>
      </c>
      <c r="N36" s="466"/>
      <c r="O36" s="466"/>
      <c r="P36" s="466"/>
      <c r="Q36" s="466"/>
      <c r="R36" s="697">
        <v>0</v>
      </c>
    </row>
    <row r="37" spans="1:18" ht="12.75" customHeight="1">
      <c r="A37" s="465" t="s">
        <v>48</v>
      </c>
      <c r="B37" s="457" t="s">
        <v>52</v>
      </c>
      <c r="C37" s="458">
        <v>10000</v>
      </c>
      <c r="D37" s="464"/>
      <c r="E37" s="466"/>
      <c r="F37" s="458">
        <v>-1487</v>
      </c>
      <c r="G37" s="458">
        <f t="shared" si="14"/>
        <v>8513</v>
      </c>
      <c r="H37" s="458"/>
      <c r="I37" s="458">
        <f t="shared" si="15"/>
        <v>8513</v>
      </c>
      <c r="J37" s="458"/>
      <c r="K37" s="458">
        <f t="shared" si="16"/>
        <v>8513</v>
      </c>
      <c r="L37" s="458">
        <f>-1458-3000</f>
        <v>-4458</v>
      </c>
      <c r="M37" s="458">
        <f t="shared" si="17"/>
        <v>4055</v>
      </c>
      <c r="N37" s="466">
        <v>-1458</v>
      </c>
      <c r="O37" s="466">
        <v>-3000</v>
      </c>
      <c r="P37" s="466"/>
      <c r="Q37" s="466"/>
      <c r="R37" s="697">
        <v>3292</v>
      </c>
    </row>
    <row r="38" spans="1:18" ht="12.75" customHeight="1">
      <c r="A38" s="465" t="s">
        <v>48</v>
      </c>
      <c r="B38" s="457" t="s">
        <v>85</v>
      </c>
      <c r="C38" s="458">
        <v>1100</v>
      </c>
      <c r="D38" s="464"/>
      <c r="E38" s="466"/>
      <c r="F38" s="458"/>
      <c r="G38" s="458">
        <f t="shared" si="14"/>
        <v>1100</v>
      </c>
      <c r="H38" s="458"/>
      <c r="I38" s="458">
        <f t="shared" si="15"/>
        <v>1100</v>
      </c>
      <c r="J38" s="458"/>
      <c r="K38" s="458">
        <f t="shared" si="16"/>
        <v>1100</v>
      </c>
      <c r="L38" s="458"/>
      <c r="M38" s="458">
        <f t="shared" si="17"/>
        <v>1100</v>
      </c>
      <c r="N38" s="466"/>
      <c r="O38" s="466"/>
      <c r="P38" s="466"/>
      <c r="Q38" s="466"/>
      <c r="R38" s="697">
        <v>1100</v>
      </c>
    </row>
    <row r="39" spans="1:18" ht="12.75" customHeight="1">
      <c r="A39" s="465" t="s">
        <v>48</v>
      </c>
      <c r="B39" s="457" t="s">
        <v>54</v>
      </c>
      <c r="C39" s="458">
        <v>3900</v>
      </c>
      <c r="D39" s="464"/>
      <c r="E39" s="466"/>
      <c r="F39" s="458"/>
      <c r="G39" s="458">
        <f t="shared" si="14"/>
        <v>3900</v>
      </c>
      <c r="H39" s="458">
        <f>-3123-777</f>
        <v>-3900</v>
      </c>
      <c r="I39" s="458">
        <f t="shared" si="15"/>
        <v>0</v>
      </c>
      <c r="J39" s="458"/>
      <c r="K39" s="458">
        <f t="shared" si="16"/>
        <v>0</v>
      </c>
      <c r="L39" s="458"/>
      <c r="M39" s="458">
        <f t="shared" si="17"/>
        <v>0</v>
      </c>
      <c r="N39" s="466"/>
      <c r="O39" s="466"/>
      <c r="P39" s="466"/>
      <c r="Q39" s="466"/>
      <c r="R39" s="697">
        <v>0</v>
      </c>
    </row>
    <row r="40" spans="1:18" ht="12.75" customHeight="1">
      <c r="A40" s="465" t="s">
        <v>56</v>
      </c>
      <c r="B40" s="457" t="s">
        <v>55</v>
      </c>
      <c r="C40" s="458">
        <v>3800</v>
      </c>
      <c r="D40" s="464"/>
      <c r="E40" s="466"/>
      <c r="F40" s="458"/>
      <c r="G40" s="458">
        <f t="shared" si="14"/>
        <v>3800</v>
      </c>
      <c r="H40" s="458"/>
      <c r="I40" s="458">
        <f t="shared" si="15"/>
        <v>3800</v>
      </c>
      <c r="J40" s="458">
        <v>-3800</v>
      </c>
      <c r="K40" s="458">
        <f t="shared" si="16"/>
        <v>0</v>
      </c>
      <c r="L40" s="458"/>
      <c r="M40" s="458">
        <f t="shared" si="17"/>
        <v>0</v>
      </c>
      <c r="N40" s="466"/>
      <c r="O40" s="466"/>
      <c r="P40" s="466"/>
      <c r="Q40" s="466"/>
      <c r="R40" s="697">
        <v>0</v>
      </c>
    </row>
    <row r="41" spans="1:18" ht="12.75" customHeight="1">
      <c r="A41" s="465" t="s">
        <v>56</v>
      </c>
      <c r="B41" s="457" t="s">
        <v>57</v>
      </c>
      <c r="C41" s="458">
        <v>4445</v>
      </c>
      <c r="D41" s="464"/>
      <c r="E41" s="466"/>
      <c r="F41" s="458"/>
      <c r="G41" s="458">
        <f t="shared" si="14"/>
        <v>4445</v>
      </c>
      <c r="H41" s="458"/>
      <c r="I41" s="458">
        <f t="shared" si="15"/>
        <v>4445</v>
      </c>
      <c r="J41" s="458">
        <v>-4445</v>
      </c>
      <c r="K41" s="458">
        <f t="shared" si="16"/>
        <v>0</v>
      </c>
      <c r="L41" s="458"/>
      <c r="M41" s="458">
        <f t="shared" si="17"/>
        <v>0</v>
      </c>
      <c r="N41" s="466"/>
      <c r="O41" s="466"/>
      <c r="P41" s="466"/>
      <c r="Q41" s="466"/>
      <c r="R41" s="697">
        <v>0</v>
      </c>
    </row>
    <row r="42" spans="1:18" ht="12.75" customHeight="1">
      <c r="A42" s="465" t="s">
        <v>56</v>
      </c>
      <c r="B42" s="457" t="s">
        <v>990</v>
      </c>
      <c r="C42" s="458">
        <v>62108</v>
      </c>
      <c r="D42" s="464"/>
      <c r="E42" s="466"/>
      <c r="F42" s="458"/>
      <c r="G42" s="458">
        <f t="shared" si="14"/>
        <v>62108</v>
      </c>
      <c r="H42" s="458"/>
      <c r="I42" s="458">
        <f t="shared" si="15"/>
        <v>62108</v>
      </c>
      <c r="J42" s="458">
        <v>-2629</v>
      </c>
      <c r="K42" s="458">
        <f t="shared" si="16"/>
        <v>59479</v>
      </c>
      <c r="L42" s="458">
        <f>-10429-6-525</f>
        <v>-10960</v>
      </c>
      <c r="M42" s="458">
        <f t="shared" si="17"/>
        <v>48519</v>
      </c>
      <c r="N42" s="466">
        <v>-10429</v>
      </c>
      <c r="O42" s="466">
        <v>-6</v>
      </c>
      <c r="P42" s="466">
        <v>-525</v>
      </c>
      <c r="Q42" s="466"/>
      <c r="R42" s="697">
        <v>48361</v>
      </c>
    </row>
    <row r="43" spans="1:18" ht="12.75" customHeight="1">
      <c r="A43" s="465" t="s">
        <v>56</v>
      </c>
      <c r="B43" s="457" t="s">
        <v>58</v>
      </c>
      <c r="C43" s="458">
        <v>1525</v>
      </c>
      <c r="D43" s="464"/>
      <c r="E43" s="466"/>
      <c r="F43" s="458"/>
      <c r="G43" s="458">
        <f t="shared" si="14"/>
        <v>1525</v>
      </c>
      <c r="H43" s="458"/>
      <c r="I43" s="458">
        <f t="shared" si="15"/>
        <v>1525</v>
      </c>
      <c r="J43" s="458"/>
      <c r="K43" s="458">
        <f t="shared" si="16"/>
        <v>1525</v>
      </c>
      <c r="L43" s="458"/>
      <c r="M43" s="458">
        <f t="shared" si="17"/>
        <v>1525</v>
      </c>
      <c r="N43" s="466"/>
      <c r="O43" s="466"/>
      <c r="P43" s="466"/>
      <c r="Q43" s="466"/>
      <c r="R43" s="697">
        <v>0</v>
      </c>
    </row>
    <row r="44" spans="1:18" ht="25.5" customHeight="1">
      <c r="A44" s="465" t="s">
        <v>56</v>
      </c>
      <c r="B44" s="457" t="s">
        <v>59</v>
      </c>
      <c r="C44" s="458">
        <v>10000</v>
      </c>
      <c r="D44" s="464"/>
      <c r="E44" s="466"/>
      <c r="F44" s="458">
        <v>-2211</v>
      </c>
      <c r="G44" s="458">
        <f t="shared" si="14"/>
        <v>7789</v>
      </c>
      <c r="H44" s="458"/>
      <c r="I44" s="458">
        <f t="shared" si="15"/>
        <v>7789</v>
      </c>
      <c r="J44" s="458"/>
      <c r="K44" s="458">
        <f t="shared" si="16"/>
        <v>7789</v>
      </c>
      <c r="L44" s="458">
        <v>-6000</v>
      </c>
      <c r="M44" s="458">
        <f t="shared" si="17"/>
        <v>1789</v>
      </c>
      <c r="N44" s="466"/>
      <c r="O44" s="466"/>
      <c r="P44" s="466"/>
      <c r="Q44" s="466"/>
      <c r="R44" s="697">
        <v>1200</v>
      </c>
    </row>
    <row r="45" spans="1:18" ht="12.75" customHeight="1">
      <c r="A45" s="465" t="s">
        <v>56</v>
      </c>
      <c r="B45" s="457" t="s">
        <v>60</v>
      </c>
      <c r="C45" s="458">
        <v>7264</v>
      </c>
      <c r="D45" s="464"/>
      <c r="E45" s="466"/>
      <c r="F45" s="458"/>
      <c r="G45" s="458">
        <f t="shared" si="14"/>
        <v>7264</v>
      </c>
      <c r="H45" s="458"/>
      <c r="I45" s="458">
        <f t="shared" si="15"/>
        <v>7264</v>
      </c>
      <c r="J45" s="458"/>
      <c r="K45" s="458">
        <f t="shared" si="16"/>
        <v>7264</v>
      </c>
      <c r="L45" s="458"/>
      <c r="M45" s="458">
        <f t="shared" si="17"/>
        <v>7264</v>
      </c>
      <c r="N45" s="466"/>
      <c r="O45" s="466"/>
      <c r="P45" s="466"/>
      <c r="Q45" s="466"/>
      <c r="R45" s="697">
        <v>7264</v>
      </c>
    </row>
    <row r="46" spans="1:18" ht="12.75" customHeight="1">
      <c r="A46" s="465" t="s">
        <v>63</v>
      </c>
      <c r="B46" s="457" t="s">
        <v>61</v>
      </c>
      <c r="C46" s="458">
        <v>4445</v>
      </c>
      <c r="D46" s="464"/>
      <c r="E46" s="466"/>
      <c r="F46" s="458"/>
      <c r="G46" s="458">
        <f t="shared" si="14"/>
        <v>4445</v>
      </c>
      <c r="H46" s="458"/>
      <c r="I46" s="458">
        <f t="shared" si="15"/>
        <v>4445</v>
      </c>
      <c r="J46" s="458"/>
      <c r="K46" s="458">
        <f t="shared" si="16"/>
        <v>4445</v>
      </c>
      <c r="L46" s="458"/>
      <c r="M46" s="458">
        <f t="shared" si="17"/>
        <v>4445</v>
      </c>
      <c r="N46" s="466"/>
      <c r="O46" s="466"/>
      <c r="P46" s="466"/>
      <c r="Q46" s="466"/>
      <c r="R46" s="697">
        <v>4222</v>
      </c>
    </row>
    <row r="47" spans="1:18" ht="12.75" customHeight="1">
      <c r="A47" s="465" t="s">
        <v>63</v>
      </c>
      <c r="B47" s="457" t="s">
        <v>64</v>
      </c>
      <c r="C47" s="458">
        <v>5000</v>
      </c>
      <c r="D47" s="464"/>
      <c r="E47" s="466"/>
      <c r="F47" s="458"/>
      <c r="G47" s="458">
        <f t="shared" si="14"/>
        <v>5000</v>
      </c>
      <c r="H47" s="458"/>
      <c r="I47" s="458">
        <f t="shared" si="15"/>
        <v>5000</v>
      </c>
      <c r="J47" s="458">
        <v>-609</v>
      </c>
      <c r="K47" s="458">
        <f t="shared" si="16"/>
        <v>4391</v>
      </c>
      <c r="L47" s="458">
        <f>-1700-1000</f>
        <v>-2700</v>
      </c>
      <c r="M47" s="458">
        <f t="shared" si="17"/>
        <v>1691</v>
      </c>
      <c r="N47" s="466">
        <v>-1700</v>
      </c>
      <c r="O47" s="466">
        <v>-1000</v>
      </c>
      <c r="P47" s="466"/>
      <c r="Q47" s="466"/>
      <c r="R47" s="697">
        <v>214</v>
      </c>
    </row>
    <row r="48" spans="1:18" ht="12.75" customHeight="1">
      <c r="A48" s="465" t="s">
        <v>63</v>
      </c>
      <c r="B48" s="457" t="s">
        <v>65</v>
      </c>
      <c r="C48" s="458">
        <v>20000</v>
      </c>
      <c r="D48" s="464"/>
      <c r="E48" s="466"/>
      <c r="F48" s="458"/>
      <c r="G48" s="458">
        <f t="shared" si="14"/>
        <v>20000</v>
      </c>
      <c r="H48" s="458"/>
      <c r="I48" s="458">
        <f t="shared" si="15"/>
        <v>20000</v>
      </c>
      <c r="J48" s="458"/>
      <c r="K48" s="458">
        <f t="shared" si="16"/>
        <v>20000</v>
      </c>
      <c r="L48" s="458">
        <v>-20000</v>
      </c>
      <c r="M48" s="458">
        <f t="shared" si="17"/>
        <v>0</v>
      </c>
      <c r="N48" s="466"/>
      <c r="O48" s="466"/>
      <c r="P48" s="466"/>
      <c r="Q48" s="466"/>
      <c r="R48" s="697">
        <v>0</v>
      </c>
    </row>
    <row r="49" spans="1:18" ht="26.25" customHeight="1">
      <c r="A49" s="465" t="s">
        <v>67</v>
      </c>
      <c r="B49" s="457" t="s">
        <v>66</v>
      </c>
      <c r="C49" s="458">
        <v>6000</v>
      </c>
      <c r="D49" s="464"/>
      <c r="E49" s="466"/>
      <c r="F49" s="458"/>
      <c r="G49" s="458">
        <f t="shared" si="14"/>
        <v>6000</v>
      </c>
      <c r="H49" s="458"/>
      <c r="I49" s="458">
        <f t="shared" si="15"/>
        <v>6000</v>
      </c>
      <c r="J49" s="458">
        <v>-1194</v>
      </c>
      <c r="K49" s="458">
        <f t="shared" si="16"/>
        <v>4806</v>
      </c>
      <c r="L49" s="458">
        <v>-2000</v>
      </c>
      <c r="M49" s="458">
        <f t="shared" si="17"/>
        <v>2806</v>
      </c>
      <c r="N49" s="466"/>
      <c r="O49" s="466"/>
      <c r="P49" s="466"/>
      <c r="Q49" s="466"/>
      <c r="R49" s="697">
        <v>254</v>
      </c>
    </row>
    <row r="50" spans="1:18" ht="12.75" customHeight="1">
      <c r="A50" s="465" t="s">
        <v>67</v>
      </c>
      <c r="B50" s="457" t="s">
        <v>68</v>
      </c>
      <c r="C50" s="458">
        <v>40000</v>
      </c>
      <c r="D50" s="464"/>
      <c r="E50" s="466"/>
      <c r="F50" s="458"/>
      <c r="G50" s="458">
        <f t="shared" si="14"/>
        <v>40000</v>
      </c>
      <c r="H50" s="458"/>
      <c r="I50" s="458">
        <f t="shared" si="15"/>
        <v>40000</v>
      </c>
      <c r="J50" s="458"/>
      <c r="K50" s="458">
        <f t="shared" si="16"/>
        <v>40000</v>
      </c>
      <c r="L50" s="458">
        <v>-695</v>
      </c>
      <c r="M50" s="458">
        <f t="shared" si="17"/>
        <v>39305</v>
      </c>
      <c r="N50" s="466"/>
      <c r="O50" s="466"/>
      <c r="P50" s="466"/>
      <c r="Q50" s="466"/>
      <c r="R50" s="697">
        <v>39305</v>
      </c>
    </row>
    <row r="51" spans="1:18" ht="12.75" customHeight="1">
      <c r="A51" s="465" t="s">
        <v>147</v>
      </c>
      <c r="B51" s="457" t="s">
        <v>659</v>
      </c>
      <c r="C51" s="458">
        <v>21200</v>
      </c>
      <c r="D51" s="464"/>
      <c r="E51" s="466"/>
      <c r="F51" s="458"/>
      <c r="G51" s="458">
        <f t="shared" si="14"/>
        <v>21200</v>
      </c>
      <c r="H51" s="458"/>
      <c r="I51" s="458">
        <f t="shared" si="15"/>
        <v>21200</v>
      </c>
      <c r="J51" s="458"/>
      <c r="K51" s="458">
        <f t="shared" si="16"/>
        <v>21200</v>
      </c>
      <c r="L51" s="458"/>
      <c r="M51" s="458">
        <f t="shared" si="17"/>
        <v>21200</v>
      </c>
      <c r="N51" s="466"/>
      <c r="O51" s="466"/>
      <c r="P51" s="466"/>
      <c r="Q51" s="466"/>
      <c r="R51" s="697">
        <v>21200</v>
      </c>
    </row>
    <row r="52" spans="1:18" ht="12.75" customHeight="1">
      <c r="A52" s="465" t="s">
        <v>62</v>
      </c>
      <c r="B52" s="457" t="s">
        <v>69</v>
      </c>
      <c r="C52" s="458">
        <v>22000</v>
      </c>
      <c r="D52" s="464"/>
      <c r="E52" s="466"/>
      <c r="F52" s="458"/>
      <c r="G52" s="458">
        <f t="shared" si="14"/>
        <v>22000</v>
      </c>
      <c r="H52" s="458"/>
      <c r="I52" s="458">
        <f t="shared" si="15"/>
        <v>22000</v>
      </c>
      <c r="J52" s="458"/>
      <c r="K52" s="458">
        <f t="shared" si="16"/>
        <v>22000</v>
      </c>
      <c r="L52" s="458">
        <v>-21606</v>
      </c>
      <c r="M52" s="458">
        <f t="shared" si="17"/>
        <v>394</v>
      </c>
      <c r="N52" s="466"/>
      <c r="O52" s="466"/>
      <c r="P52" s="466"/>
      <c r="Q52" s="466"/>
      <c r="R52" s="697">
        <v>394</v>
      </c>
    </row>
    <row r="53" spans="1:18" ht="12.75" customHeight="1">
      <c r="A53" s="465" t="s">
        <v>48</v>
      </c>
      <c r="B53" s="457" t="s">
        <v>72</v>
      </c>
      <c r="C53" s="458">
        <v>15320</v>
      </c>
      <c r="D53" s="464"/>
      <c r="E53" s="466"/>
      <c r="F53" s="458"/>
      <c r="G53" s="458">
        <f t="shared" si="14"/>
        <v>15320</v>
      </c>
      <c r="H53" s="458">
        <v>-5500</v>
      </c>
      <c r="I53" s="458">
        <f t="shared" si="15"/>
        <v>9820</v>
      </c>
      <c r="J53" s="458"/>
      <c r="K53" s="458">
        <f t="shared" si="16"/>
        <v>9820</v>
      </c>
      <c r="L53" s="458"/>
      <c r="M53" s="458">
        <f t="shared" si="17"/>
        <v>9820</v>
      </c>
      <c r="N53" s="466"/>
      <c r="O53" s="466"/>
      <c r="P53" s="466"/>
      <c r="Q53" s="466"/>
      <c r="R53" s="697">
        <v>0</v>
      </c>
    </row>
    <row r="54" spans="1:18" ht="12.75" customHeight="1">
      <c r="A54" s="465" t="s">
        <v>17</v>
      </c>
      <c r="B54" s="457" t="s">
        <v>75</v>
      </c>
      <c r="C54" s="458">
        <v>800</v>
      </c>
      <c r="D54" s="464"/>
      <c r="E54" s="466"/>
      <c r="F54" s="458"/>
      <c r="G54" s="458">
        <f t="shared" si="14"/>
        <v>800</v>
      </c>
      <c r="H54" s="458"/>
      <c r="I54" s="458">
        <f t="shared" si="15"/>
        <v>800</v>
      </c>
      <c r="J54" s="458"/>
      <c r="K54" s="458">
        <f t="shared" si="16"/>
        <v>800</v>
      </c>
      <c r="L54" s="458"/>
      <c r="M54" s="458">
        <f t="shared" si="17"/>
        <v>800</v>
      </c>
      <c r="N54" s="466"/>
      <c r="O54" s="466"/>
      <c r="P54" s="466"/>
      <c r="Q54" s="466"/>
      <c r="R54" s="697">
        <v>0</v>
      </c>
    </row>
    <row r="55" spans="1:18" ht="12.75" customHeight="1">
      <c r="A55" s="465" t="s">
        <v>67</v>
      </c>
      <c r="B55" s="457" t="s">
        <v>76</v>
      </c>
      <c r="C55" s="458">
        <v>1905</v>
      </c>
      <c r="D55" s="464"/>
      <c r="E55" s="466"/>
      <c r="F55" s="458"/>
      <c r="G55" s="458">
        <f t="shared" si="14"/>
        <v>1905</v>
      </c>
      <c r="H55" s="458"/>
      <c r="I55" s="458">
        <f t="shared" si="15"/>
        <v>1905</v>
      </c>
      <c r="J55" s="458"/>
      <c r="K55" s="458">
        <f t="shared" si="16"/>
        <v>1905</v>
      </c>
      <c r="L55" s="458"/>
      <c r="M55" s="458">
        <f t="shared" si="17"/>
        <v>1905</v>
      </c>
      <c r="N55" s="466"/>
      <c r="O55" s="466"/>
      <c r="P55" s="466"/>
      <c r="Q55" s="466"/>
      <c r="R55" s="697">
        <v>1905</v>
      </c>
    </row>
    <row r="56" spans="1:18" ht="12.75" customHeight="1">
      <c r="A56" s="465"/>
      <c r="B56" s="457" t="s">
        <v>77</v>
      </c>
      <c r="C56" s="458">
        <v>5620</v>
      </c>
      <c r="D56" s="464"/>
      <c r="E56" s="466"/>
      <c r="F56" s="458"/>
      <c r="G56" s="458">
        <f t="shared" si="14"/>
        <v>5620</v>
      </c>
      <c r="H56" s="458"/>
      <c r="I56" s="458">
        <f t="shared" si="15"/>
        <v>5620</v>
      </c>
      <c r="J56" s="458"/>
      <c r="K56" s="458">
        <f t="shared" si="16"/>
        <v>5620</v>
      </c>
      <c r="L56" s="458"/>
      <c r="M56" s="458">
        <f t="shared" si="17"/>
        <v>5620</v>
      </c>
      <c r="N56" s="466"/>
      <c r="O56" s="466"/>
      <c r="P56" s="466"/>
      <c r="Q56" s="466"/>
      <c r="R56" s="697">
        <v>5620</v>
      </c>
    </row>
    <row r="57" spans="1:18" ht="12.75" customHeight="1">
      <c r="A57" s="465"/>
      <c r="B57" s="457" t="s">
        <v>669</v>
      </c>
      <c r="C57" s="458"/>
      <c r="D57" s="464"/>
      <c r="E57" s="466"/>
      <c r="F57" s="458">
        <v>54</v>
      </c>
      <c r="G57" s="458">
        <f t="shared" si="14"/>
        <v>54</v>
      </c>
      <c r="H57" s="458"/>
      <c r="I57" s="458">
        <f t="shared" si="15"/>
        <v>54</v>
      </c>
      <c r="J57" s="458"/>
      <c r="K57" s="458">
        <f t="shared" si="16"/>
        <v>54</v>
      </c>
      <c r="L57" s="458"/>
      <c r="M57" s="458">
        <f t="shared" si="17"/>
        <v>54</v>
      </c>
      <c r="N57" s="466"/>
      <c r="O57" s="466"/>
      <c r="P57" s="466"/>
      <c r="Q57" s="466"/>
      <c r="R57" s="697">
        <v>54</v>
      </c>
    </row>
    <row r="58" spans="1:18" ht="12.75" customHeight="1">
      <c r="A58" s="465"/>
      <c r="B58" s="457" t="s">
        <v>670</v>
      </c>
      <c r="C58" s="458"/>
      <c r="D58" s="464"/>
      <c r="E58" s="466"/>
      <c r="F58" s="458">
        <v>2182</v>
      </c>
      <c r="G58" s="458">
        <f t="shared" si="14"/>
        <v>2182</v>
      </c>
      <c r="H58" s="458"/>
      <c r="I58" s="458">
        <f t="shared" si="15"/>
        <v>2182</v>
      </c>
      <c r="J58" s="458"/>
      <c r="K58" s="458">
        <f t="shared" si="16"/>
        <v>2182</v>
      </c>
      <c r="L58" s="458"/>
      <c r="M58" s="458">
        <f t="shared" si="17"/>
        <v>2182</v>
      </c>
      <c r="N58" s="466"/>
      <c r="O58" s="466"/>
      <c r="P58" s="466"/>
      <c r="Q58" s="466"/>
      <c r="R58" s="697">
        <v>2182</v>
      </c>
    </row>
    <row r="59" spans="1:18" ht="12.75" customHeight="1">
      <c r="A59" s="465"/>
      <c r="B59" s="457" t="s">
        <v>748</v>
      </c>
      <c r="C59" s="458"/>
      <c r="D59" s="464"/>
      <c r="E59" s="466"/>
      <c r="F59" s="458"/>
      <c r="G59" s="458"/>
      <c r="H59" s="458">
        <v>94</v>
      </c>
      <c r="I59" s="458">
        <f t="shared" si="15"/>
        <v>94</v>
      </c>
      <c r="J59" s="458"/>
      <c r="K59" s="458">
        <f t="shared" si="16"/>
        <v>94</v>
      </c>
      <c r="L59" s="458"/>
      <c r="M59" s="458">
        <f t="shared" si="17"/>
        <v>94</v>
      </c>
      <c r="N59" s="466"/>
      <c r="O59" s="466"/>
      <c r="P59" s="466"/>
      <c r="Q59" s="466"/>
      <c r="R59" s="697">
        <v>94</v>
      </c>
    </row>
    <row r="60" spans="1:18" ht="12.75" customHeight="1">
      <c r="A60" s="465"/>
      <c r="B60" s="457" t="s">
        <v>749</v>
      </c>
      <c r="C60" s="458"/>
      <c r="D60" s="464"/>
      <c r="E60" s="466"/>
      <c r="F60" s="458"/>
      <c r="G60" s="458"/>
      <c r="H60" s="458">
        <f>57+12270</f>
        <v>12327</v>
      </c>
      <c r="I60" s="458">
        <f t="shared" si="15"/>
        <v>12327</v>
      </c>
      <c r="J60" s="458">
        <v>2268</v>
      </c>
      <c r="K60" s="458">
        <f t="shared" si="16"/>
        <v>14595</v>
      </c>
      <c r="L60" s="458">
        <f>2700</f>
        <v>2700</v>
      </c>
      <c r="M60" s="458">
        <f t="shared" si="17"/>
        <v>17295</v>
      </c>
      <c r="N60" s="466"/>
      <c r="O60" s="466"/>
      <c r="P60" s="466"/>
      <c r="Q60" s="466"/>
      <c r="R60" s="697">
        <v>17292</v>
      </c>
    </row>
    <row r="61" spans="1:18" ht="12.75" customHeight="1">
      <c r="A61" s="465"/>
      <c r="B61" s="457" t="s">
        <v>750</v>
      </c>
      <c r="C61" s="458"/>
      <c r="D61" s="464"/>
      <c r="E61" s="466"/>
      <c r="F61" s="458"/>
      <c r="G61" s="458"/>
      <c r="H61" s="458">
        <v>345</v>
      </c>
      <c r="I61" s="458">
        <f t="shared" si="15"/>
        <v>345</v>
      </c>
      <c r="J61" s="458"/>
      <c r="K61" s="458">
        <f t="shared" si="16"/>
        <v>345</v>
      </c>
      <c r="L61" s="458"/>
      <c r="M61" s="458">
        <f t="shared" si="17"/>
        <v>345</v>
      </c>
      <c r="N61" s="466"/>
      <c r="O61" s="466"/>
      <c r="P61" s="466"/>
      <c r="Q61" s="466"/>
      <c r="R61" s="697">
        <v>345</v>
      </c>
    </row>
    <row r="62" spans="1:18" ht="12.75" customHeight="1">
      <c r="A62" s="465"/>
      <c r="B62" s="457" t="s">
        <v>751</v>
      </c>
      <c r="C62" s="458"/>
      <c r="D62" s="464"/>
      <c r="E62" s="466"/>
      <c r="F62" s="458"/>
      <c r="G62" s="458"/>
      <c r="H62" s="458">
        <v>556</v>
      </c>
      <c r="I62" s="458">
        <f t="shared" si="15"/>
        <v>556</v>
      </c>
      <c r="J62" s="458"/>
      <c r="K62" s="458">
        <f t="shared" si="16"/>
        <v>556</v>
      </c>
      <c r="L62" s="458"/>
      <c r="M62" s="458">
        <f t="shared" si="17"/>
        <v>556</v>
      </c>
      <c r="N62" s="466"/>
      <c r="O62" s="466"/>
      <c r="P62" s="466"/>
      <c r="Q62" s="466"/>
      <c r="R62" s="697">
        <v>556</v>
      </c>
    </row>
    <row r="63" spans="1:18" ht="12.75" customHeight="1">
      <c r="A63" s="465"/>
      <c r="B63" s="457" t="s">
        <v>752</v>
      </c>
      <c r="C63" s="458"/>
      <c r="D63" s="464"/>
      <c r="E63" s="466"/>
      <c r="F63" s="458"/>
      <c r="G63" s="458"/>
      <c r="H63" s="458">
        <v>70</v>
      </c>
      <c r="I63" s="458">
        <f t="shared" si="15"/>
        <v>70</v>
      </c>
      <c r="J63" s="458"/>
      <c r="K63" s="458">
        <f t="shared" si="16"/>
        <v>70</v>
      </c>
      <c r="L63" s="458"/>
      <c r="M63" s="458">
        <f t="shared" si="17"/>
        <v>70</v>
      </c>
      <c r="N63" s="466"/>
      <c r="O63" s="466"/>
      <c r="P63" s="466"/>
      <c r="Q63" s="466"/>
      <c r="R63" s="697">
        <v>70</v>
      </c>
    </row>
    <row r="64" spans="1:18" ht="12.75" customHeight="1">
      <c r="A64" s="465"/>
      <c r="B64" s="457" t="s">
        <v>753</v>
      </c>
      <c r="C64" s="458"/>
      <c r="D64" s="464"/>
      <c r="E64" s="466"/>
      <c r="F64" s="458"/>
      <c r="G64" s="458"/>
      <c r="H64" s="458">
        <v>368</v>
      </c>
      <c r="I64" s="458">
        <f t="shared" si="15"/>
        <v>368</v>
      </c>
      <c r="J64" s="458"/>
      <c r="K64" s="458">
        <f t="shared" si="16"/>
        <v>368</v>
      </c>
      <c r="L64" s="458"/>
      <c r="M64" s="458">
        <f t="shared" si="17"/>
        <v>368</v>
      </c>
      <c r="N64" s="466"/>
      <c r="O64" s="466"/>
      <c r="P64" s="466"/>
      <c r="Q64" s="466"/>
      <c r="R64" s="697">
        <v>368</v>
      </c>
    </row>
    <row r="65" spans="1:18" ht="12.75" customHeight="1">
      <c r="A65" s="465"/>
      <c r="B65" s="457" t="s">
        <v>754</v>
      </c>
      <c r="C65" s="458"/>
      <c r="D65" s="464"/>
      <c r="E65" s="466"/>
      <c r="F65" s="458"/>
      <c r="G65" s="458"/>
      <c r="H65" s="458">
        <v>572</v>
      </c>
      <c r="I65" s="458">
        <f t="shared" si="15"/>
        <v>572</v>
      </c>
      <c r="J65" s="458"/>
      <c r="K65" s="458">
        <f t="shared" si="16"/>
        <v>572</v>
      </c>
      <c r="L65" s="458"/>
      <c r="M65" s="458">
        <f t="shared" si="17"/>
        <v>572</v>
      </c>
      <c r="N65" s="466"/>
      <c r="O65" s="466"/>
      <c r="P65" s="466"/>
      <c r="Q65" s="466"/>
      <c r="R65" s="697">
        <v>572</v>
      </c>
    </row>
    <row r="66" spans="1:18" ht="12.75" customHeight="1">
      <c r="A66" s="465"/>
      <c r="B66" s="457" t="s">
        <v>755</v>
      </c>
      <c r="C66" s="458"/>
      <c r="D66" s="464"/>
      <c r="E66" s="466"/>
      <c r="F66" s="458"/>
      <c r="G66" s="458"/>
      <c r="H66" s="458">
        <v>197</v>
      </c>
      <c r="I66" s="458">
        <f t="shared" si="15"/>
        <v>197</v>
      </c>
      <c r="J66" s="458"/>
      <c r="K66" s="458">
        <f t="shared" si="16"/>
        <v>197</v>
      </c>
      <c r="L66" s="458"/>
      <c r="M66" s="458">
        <f t="shared" si="17"/>
        <v>197</v>
      </c>
      <c r="N66" s="466"/>
      <c r="O66" s="466"/>
      <c r="P66" s="466"/>
      <c r="Q66" s="466"/>
      <c r="R66" s="697">
        <v>197</v>
      </c>
    </row>
    <row r="67" spans="1:18" ht="12.75" customHeight="1">
      <c r="A67" s="465"/>
      <c r="B67" s="457" t="s">
        <v>756</v>
      </c>
      <c r="C67" s="458"/>
      <c r="D67" s="464"/>
      <c r="E67" s="466"/>
      <c r="F67" s="458"/>
      <c r="G67" s="458"/>
      <c r="H67" s="458">
        <v>445</v>
      </c>
      <c r="I67" s="458">
        <f t="shared" si="15"/>
        <v>445</v>
      </c>
      <c r="J67" s="458"/>
      <c r="K67" s="458">
        <f t="shared" si="16"/>
        <v>445</v>
      </c>
      <c r="L67" s="458"/>
      <c r="M67" s="458">
        <f t="shared" si="17"/>
        <v>445</v>
      </c>
      <c r="N67" s="466"/>
      <c r="O67" s="466"/>
      <c r="P67" s="466"/>
      <c r="Q67" s="466"/>
      <c r="R67" s="697">
        <v>445</v>
      </c>
    </row>
    <row r="68" spans="1:18" ht="12.75" customHeight="1">
      <c r="A68" s="465"/>
      <c r="B68" s="457" t="s">
        <v>757</v>
      </c>
      <c r="C68" s="458"/>
      <c r="D68" s="464"/>
      <c r="E68" s="466"/>
      <c r="F68" s="458"/>
      <c r="G68" s="458"/>
      <c r="H68" s="458">
        <v>5500</v>
      </c>
      <c r="I68" s="458">
        <f t="shared" si="15"/>
        <v>5500</v>
      </c>
      <c r="J68" s="458"/>
      <c r="K68" s="458">
        <f t="shared" si="16"/>
        <v>5500</v>
      </c>
      <c r="L68" s="458"/>
      <c r="M68" s="458">
        <f t="shared" si="17"/>
        <v>5500</v>
      </c>
      <c r="N68" s="466"/>
      <c r="O68" s="466"/>
      <c r="P68" s="466"/>
      <c r="Q68" s="466"/>
      <c r="R68" s="697">
        <v>0</v>
      </c>
    </row>
    <row r="69" spans="1:18" ht="12.75" customHeight="1">
      <c r="A69" s="465"/>
      <c r="B69" s="457" t="s">
        <v>1023</v>
      </c>
      <c r="C69" s="458"/>
      <c r="D69" s="464"/>
      <c r="E69" s="466"/>
      <c r="F69" s="458"/>
      <c r="G69" s="458"/>
      <c r="H69" s="458">
        <v>10000</v>
      </c>
      <c r="I69" s="458">
        <f t="shared" si="15"/>
        <v>10000</v>
      </c>
      <c r="J69" s="458"/>
      <c r="K69" s="458">
        <f t="shared" si="16"/>
        <v>10000</v>
      </c>
      <c r="L69" s="458">
        <v>1849</v>
      </c>
      <c r="M69" s="458">
        <f t="shared" si="17"/>
        <v>11849</v>
      </c>
      <c r="N69" s="466"/>
      <c r="O69" s="466"/>
      <c r="P69" s="466"/>
      <c r="Q69" s="466"/>
      <c r="R69" s="697">
        <v>11849</v>
      </c>
    </row>
    <row r="70" spans="1:18" ht="12.75" customHeight="1">
      <c r="A70" s="465"/>
      <c r="B70" s="457" t="s">
        <v>758</v>
      </c>
      <c r="C70" s="458"/>
      <c r="D70" s="464"/>
      <c r="E70" s="466"/>
      <c r="F70" s="458"/>
      <c r="G70" s="458"/>
      <c r="H70" s="458">
        <v>480</v>
      </c>
      <c r="I70" s="458">
        <f t="shared" si="15"/>
        <v>480</v>
      </c>
      <c r="J70" s="458"/>
      <c r="K70" s="458">
        <f t="shared" si="16"/>
        <v>480</v>
      </c>
      <c r="L70" s="458"/>
      <c r="M70" s="458">
        <f t="shared" si="17"/>
        <v>480</v>
      </c>
      <c r="N70" s="466"/>
      <c r="O70" s="466"/>
      <c r="P70" s="466"/>
      <c r="Q70" s="466"/>
      <c r="R70" s="697">
        <v>0</v>
      </c>
    </row>
    <row r="71" spans="1:18" ht="12.75" customHeight="1">
      <c r="A71" s="465"/>
      <c r="B71" s="457" t="s">
        <v>1026</v>
      </c>
      <c r="C71" s="458"/>
      <c r="D71" s="464"/>
      <c r="E71" s="466"/>
      <c r="F71" s="458"/>
      <c r="G71" s="458"/>
      <c r="H71" s="458"/>
      <c r="I71" s="458"/>
      <c r="J71" s="458">
        <v>1173</v>
      </c>
      <c r="K71" s="458">
        <f t="shared" si="16"/>
        <v>1173</v>
      </c>
      <c r="L71" s="458"/>
      <c r="M71" s="458">
        <f t="shared" si="17"/>
        <v>1173</v>
      </c>
      <c r="N71" s="466"/>
      <c r="O71" s="466"/>
      <c r="P71" s="466"/>
      <c r="Q71" s="466"/>
      <c r="R71" s="697">
        <v>0</v>
      </c>
    </row>
    <row r="72" spans="1:18" ht="12.75" customHeight="1">
      <c r="A72" s="465"/>
      <c r="B72" s="457" t="s">
        <v>1024</v>
      </c>
      <c r="C72" s="458"/>
      <c r="D72" s="464"/>
      <c r="E72" s="466"/>
      <c r="F72" s="458"/>
      <c r="G72" s="458"/>
      <c r="H72" s="458"/>
      <c r="I72" s="458"/>
      <c r="J72" s="458">
        <v>479</v>
      </c>
      <c r="K72" s="458">
        <f t="shared" si="16"/>
        <v>479</v>
      </c>
      <c r="L72" s="458"/>
      <c r="M72" s="458">
        <f t="shared" si="17"/>
        <v>479</v>
      </c>
      <c r="N72" s="466"/>
      <c r="O72" s="466"/>
      <c r="P72" s="466"/>
      <c r="Q72" s="466"/>
      <c r="R72" s="697">
        <v>479</v>
      </c>
    </row>
    <row r="73" spans="1:18" ht="12.75" customHeight="1">
      <c r="A73" s="465"/>
      <c r="B73" s="457" t="s">
        <v>802</v>
      </c>
      <c r="C73" s="458"/>
      <c r="D73" s="464"/>
      <c r="E73" s="466"/>
      <c r="F73" s="458"/>
      <c r="G73" s="458"/>
      <c r="H73" s="458"/>
      <c r="I73" s="458"/>
      <c r="J73" s="458">
        <f>825+155</f>
        <v>980</v>
      </c>
      <c r="K73" s="458">
        <f t="shared" si="16"/>
        <v>980</v>
      </c>
      <c r="L73" s="458">
        <v>446</v>
      </c>
      <c r="M73" s="458">
        <f t="shared" si="17"/>
        <v>1426</v>
      </c>
      <c r="N73" s="466"/>
      <c r="O73" s="466"/>
      <c r="P73" s="466"/>
      <c r="Q73" s="466"/>
      <c r="R73" s="697">
        <v>1426</v>
      </c>
    </row>
    <row r="74" spans="1:18" ht="12.75" customHeight="1">
      <c r="A74" s="465" t="s">
        <v>147</v>
      </c>
      <c r="B74" s="457" t="s">
        <v>1025</v>
      </c>
      <c r="C74" s="458"/>
      <c r="D74" s="464"/>
      <c r="E74" s="466"/>
      <c r="F74" s="458"/>
      <c r="G74" s="458"/>
      <c r="H74" s="458"/>
      <c r="I74" s="458"/>
      <c r="J74" s="458">
        <v>156</v>
      </c>
      <c r="K74" s="458">
        <f t="shared" si="16"/>
        <v>156</v>
      </c>
      <c r="L74" s="458"/>
      <c r="M74" s="458">
        <f t="shared" si="17"/>
        <v>156</v>
      </c>
      <c r="N74" s="466"/>
      <c r="O74" s="466"/>
      <c r="P74" s="466"/>
      <c r="Q74" s="466"/>
      <c r="R74" s="697">
        <v>156</v>
      </c>
    </row>
    <row r="75" spans="1:18" ht="12.75" customHeight="1">
      <c r="A75" s="465" t="s">
        <v>17</v>
      </c>
      <c r="B75" s="457" t="s">
        <v>803</v>
      </c>
      <c r="C75" s="458"/>
      <c r="D75" s="464"/>
      <c r="E75" s="466"/>
      <c r="F75" s="458"/>
      <c r="G75" s="458"/>
      <c r="H75" s="458"/>
      <c r="I75" s="458"/>
      <c r="J75" s="458">
        <v>1194</v>
      </c>
      <c r="K75" s="458">
        <f t="shared" si="16"/>
        <v>1194</v>
      </c>
      <c r="L75" s="458"/>
      <c r="M75" s="458">
        <f t="shared" si="17"/>
        <v>1194</v>
      </c>
      <c r="N75" s="466"/>
      <c r="O75" s="466"/>
      <c r="P75" s="466"/>
      <c r="Q75" s="466"/>
      <c r="R75" s="697">
        <v>1194</v>
      </c>
    </row>
    <row r="76" spans="1:18" ht="12.75" customHeight="1">
      <c r="A76" s="465" t="s">
        <v>17</v>
      </c>
      <c r="B76" s="457" t="s">
        <v>804</v>
      </c>
      <c r="C76" s="458"/>
      <c r="D76" s="464"/>
      <c r="E76" s="466"/>
      <c r="F76" s="458"/>
      <c r="G76" s="458"/>
      <c r="H76" s="458"/>
      <c r="I76" s="458"/>
      <c r="J76" s="458">
        <v>40</v>
      </c>
      <c r="K76" s="458">
        <f t="shared" si="16"/>
        <v>40</v>
      </c>
      <c r="L76" s="458"/>
      <c r="M76" s="458">
        <f t="shared" si="17"/>
        <v>40</v>
      </c>
      <c r="N76" s="466"/>
      <c r="O76" s="466"/>
      <c r="P76" s="466"/>
      <c r="Q76" s="466"/>
      <c r="R76" s="697">
        <v>40</v>
      </c>
    </row>
    <row r="77" spans="1:18" ht="12.75" customHeight="1">
      <c r="A77" s="465" t="s">
        <v>17</v>
      </c>
      <c r="B77" s="457" t="s">
        <v>805</v>
      </c>
      <c r="C77" s="458"/>
      <c r="D77" s="464"/>
      <c r="E77" s="466"/>
      <c r="F77" s="458"/>
      <c r="G77" s="458"/>
      <c r="H77" s="458"/>
      <c r="I77" s="458"/>
      <c r="J77" s="458">
        <v>254</v>
      </c>
      <c r="K77" s="458">
        <f t="shared" si="16"/>
        <v>254</v>
      </c>
      <c r="L77" s="458"/>
      <c r="M77" s="458">
        <f t="shared" si="17"/>
        <v>254</v>
      </c>
      <c r="N77" s="466"/>
      <c r="O77" s="466"/>
      <c r="P77" s="466"/>
      <c r="Q77" s="466"/>
      <c r="R77" s="697">
        <v>254</v>
      </c>
    </row>
    <row r="78" spans="1:18" ht="12.75" customHeight="1">
      <c r="A78" s="465" t="s">
        <v>17</v>
      </c>
      <c r="B78" s="457" t="s">
        <v>806</v>
      </c>
      <c r="C78" s="458"/>
      <c r="D78" s="464"/>
      <c r="E78" s="466"/>
      <c r="F78" s="458"/>
      <c r="G78" s="458"/>
      <c r="H78" s="458"/>
      <c r="I78" s="458"/>
      <c r="J78" s="458">
        <v>254</v>
      </c>
      <c r="K78" s="458">
        <f t="shared" si="16"/>
        <v>254</v>
      </c>
      <c r="L78" s="458"/>
      <c r="M78" s="458">
        <f t="shared" si="17"/>
        <v>254</v>
      </c>
      <c r="N78" s="466"/>
      <c r="O78" s="466"/>
      <c r="P78" s="466"/>
      <c r="Q78" s="466"/>
      <c r="R78" s="697">
        <v>254</v>
      </c>
    </row>
    <row r="79" spans="1:18" ht="12.75" customHeight="1">
      <c r="A79" s="465" t="s">
        <v>148</v>
      </c>
      <c r="B79" s="457" t="s">
        <v>807</v>
      </c>
      <c r="C79" s="458"/>
      <c r="D79" s="464"/>
      <c r="E79" s="466"/>
      <c r="F79" s="458"/>
      <c r="G79" s="458"/>
      <c r="H79" s="458"/>
      <c r="I79" s="458"/>
      <c r="J79" s="458">
        <v>101</v>
      </c>
      <c r="K79" s="458">
        <f t="shared" si="16"/>
        <v>101</v>
      </c>
      <c r="L79" s="458"/>
      <c r="M79" s="458">
        <f t="shared" si="17"/>
        <v>101</v>
      </c>
      <c r="N79" s="466"/>
      <c r="O79" s="466"/>
      <c r="P79" s="466"/>
      <c r="Q79" s="466"/>
      <c r="R79" s="697">
        <v>101</v>
      </c>
    </row>
    <row r="80" spans="1:18" ht="12.75" customHeight="1">
      <c r="A80" s="465"/>
      <c r="B80" s="457" t="s">
        <v>991</v>
      </c>
      <c r="C80" s="458"/>
      <c r="D80" s="464"/>
      <c r="E80" s="466"/>
      <c r="F80" s="458"/>
      <c r="G80" s="458"/>
      <c r="H80" s="458"/>
      <c r="I80" s="458"/>
      <c r="J80" s="458"/>
      <c r="K80" s="458"/>
      <c r="L80" s="458">
        <v>525</v>
      </c>
      <c r="M80" s="458">
        <f t="shared" si="17"/>
        <v>525</v>
      </c>
      <c r="N80" s="466"/>
      <c r="O80" s="466"/>
      <c r="P80" s="466"/>
      <c r="Q80" s="466"/>
      <c r="R80" s="697">
        <v>525</v>
      </c>
    </row>
    <row r="81" spans="1:18" ht="12.75" customHeight="1">
      <c r="A81" s="465"/>
      <c r="B81" s="457" t="s">
        <v>992</v>
      </c>
      <c r="C81" s="458"/>
      <c r="D81" s="464"/>
      <c r="E81" s="466"/>
      <c r="F81" s="458"/>
      <c r="G81" s="458"/>
      <c r="H81" s="458"/>
      <c r="I81" s="458"/>
      <c r="J81" s="458"/>
      <c r="K81" s="458"/>
      <c r="L81" s="458">
        <v>176</v>
      </c>
      <c r="M81" s="458">
        <f t="shared" si="17"/>
        <v>176</v>
      </c>
      <c r="N81" s="466"/>
      <c r="O81" s="466"/>
      <c r="P81" s="466"/>
      <c r="Q81" s="466"/>
      <c r="R81" s="697">
        <v>176</v>
      </c>
    </row>
    <row r="82" spans="1:18" ht="12.75" customHeight="1">
      <c r="A82" s="465" t="s">
        <v>148</v>
      </c>
      <c r="B82" s="457"/>
      <c r="C82" s="458"/>
      <c r="D82" s="464"/>
      <c r="E82" s="466"/>
      <c r="F82" s="458"/>
      <c r="G82" s="460"/>
      <c r="H82" s="460"/>
      <c r="I82" s="460"/>
      <c r="J82" s="460"/>
      <c r="K82" s="460"/>
      <c r="L82" s="460"/>
      <c r="M82" s="460"/>
      <c r="N82" s="466"/>
      <c r="O82" s="466"/>
      <c r="P82" s="466"/>
      <c r="Q82" s="466"/>
      <c r="R82" s="697"/>
    </row>
    <row r="83" spans="1:18" ht="12.75" customHeight="1">
      <c r="A83" s="465" t="s">
        <v>148</v>
      </c>
      <c r="B83" s="461" t="s">
        <v>12</v>
      </c>
      <c r="C83" s="462">
        <f>SUM(C98,C85)</f>
        <v>31834</v>
      </c>
      <c r="D83" s="462">
        <f>SUM(D98,D85)</f>
        <v>0</v>
      </c>
      <c r="E83" s="462">
        <f>SUM(E98,E85)</f>
        <v>0</v>
      </c>
      <c r="F83" s="462">
        <f>SUM(F98,F85)</f>
        <v>0</v>
      </c>
      <c r="G83" s="462">
        <f>SUM(G98,G85)</f>
        <v>32481</v>
      </c>
      <c r="H83" s="462">
        <f aca="true" t="shared" si="18" ref="H83:R83">SUM(H98,H85,H101)</f>
        <v>-6182</v>
      </c>
      <c r="I83" s="462">
        <f t="shared" si="18"/>
        <v>26299</v>
      </c>
      <c r="J83" s="462">
        <f t="shared" si="18"/>
        <v>-417</v>
      </c>
      <c r="K83" s="462">
        <f t="shared" si="18"/>
        <v>25882</v>
      </c>
      <c r="L83" s="462">
        <f t="shared" si="18"/>
        <v>-5528</v>
      </c>
      <c r="M83" s="462">
        <f t="shared" si="18"/>
        <v>20354</v>
      </c>
      <c r="N83" s="462">
        <f t="shared" si="18"/>
        <v>0</v>
      </c>
      <c r="O83" s="462">
        <f t="shared" si="18"/>
        <v>0</v>
      </c>
      <c r="P83" s="462">
        <f t="shared" si="18"/>
        <v>0</v>
      </c>
      <c r="Q83" s="462">
        <f t="shared" si="18"/>
        <v>0</v>
      </c>
      <c r="R83" s="463">
        <f t="shared" si="18"/>
        <v>9330</v>
      </c>
    </row>
    <row r="84" spans="1:18" ht="12.75" customHeight="1">
      <c r="A84" s="465" t="s">
        <v>17</v>
      </c>
      <c r="B84" s="461"/>
      <c r="C84" s="462"/>
      <c r="D84" s="464"/>
      <c r="E84" s="466"/>
      <c r="F84" s="462"/>
      <c r="G84" s="460"/>
      <c r="H84" s="460"/>
      <c r="I84" s="460"/>
      <c r="J84" s="460"/>
      <c r="K84" s="460"/>
      <c r="L84" s="460"/>
      <c r="M84" s="460"/>
      <c r="N84" s="466"/>
      <c r="O84" s="466"/>
      <c r="P84" s="466"/>
      <c r="Q84" s="466"/>
      <c r="R84" s="697"/>
    </row>
    <row r="85" spans="1:18" ht="12.75" customHeight="1">
      <c r="A85" s="465"/>
      <c r="B85" s="467" t="s">
        <v>550</v>
      </c>
      <c r="C85" s="468">
        <f aca="true" t="shared" si="19" ref="C85:H85">SUM(C86:C94)</f>
        <v>31643</v>
      </c>
      <c r="D85" s="468">
        <f t="shared" si="19"/>
        <v>0</v>
      </c>
      <c r="E85" s="468">
        <f t="shared" si="19"/>
        <v>0</v>
      </c>
      <c r="F85" s="468">
        <f t="shared" si="19"/>
        <v>0</v>
      </c>
      <c r="G85" s="468">
        <f>SUM(G86:G95)</f>
        <v>32290</v>
      </c>
      <c r="H85" s="468">
        <f t="shared" si="19"/>
        <v>-6752</v>
      </c>
      <c r="I85" s="468">
        <f>SUM(I86:I95)</f>
        <v>25538</v>
      </c>
      <c r="J85" s="468">
        <f aca="true" t="shared" si="20" ref="J85:R85">SUM(J86:J96)</f>
        <v>-504</v>
      </c>
      <c r="K85" s="468">
        <f t="shared" si="20"/>
        <v>25034</v>
      </c>
      <c r="L85" s="468">
        <f t="shared" si="20"/>
        <v>-5528</v>
      </c>
      <c r="M85" s="468">
        <f t="shared" si="20"/>
        <v>19506</v>
      </c>
      <c r="N85" s="468">
        <f t="shared" si="20"/>
        <v>0</v>
      </c>
      <c r="O85" s="468">
        <f t="shared" si="20"/>
        <v>0</v>
      </c>
      <c r="P85" s="468">
        <f t="shared" si="20"/>
        <v>0</v>
      </c>
      <c r="Q85" s="468">
        <f t="shared" si="20"/>
        <v>0</v>
      </c>
      <c r="R85" s="469">
        <f t="shared" si="20"/>
        <v>8490</v>
      </c>
    </row>
    <row r="86" spans="1:18" ht="12.75" customHeight="1">
      <c r="A86" s="465"/>
      <c r="B86" s="457" t="s">
        <v>40</v>
      </c>
      <c r="C86" s="458">
        <v>226</v>
      </c>
      <c r="D86" s="464"/>
      <c r="E86" s="466"/>
      <c r="F86" s="458"/>
      <c r="G86" s="458">
        <f>C86+F86</f>
        <v>226</v>
      </c>
      <c r="H86" s="458"/>
      <c r="I86" s="458">
        <f>G86+H86</f>
        <v>226</v>
      </c>
      <c r="J86" s="458"/>
      <c r="K86" s="458">
        <f>I86+J86</f>
        <v>226</v>
      </c>
      <c r="L86" s="458">
        <v>-117</v>
      </c>
      <c r="M86" s="458">
        <f>K86+L86</f>
        <v>109</v>
      </c>
      <c r="N86" s="466"/>
      <c r="O86" s="466"/>
      <c r="P86" s="466"/>
      <c r="Q86" s="466"/>
      <c r="R86" s="697">
        <v>0</v>
      </c>
    </row>
    <row r="87" spans="1:18" ht="12.75" customHeight="1">
      <c r="A87" s="470"/>
      <c r="B87" s="457" t="s">
        <v>41</v>
      </c>
      <c r="C87" s="458">
        <v>1270</v>
      </c>
      <c r="D87" s="464"/>
      <c r="E87" s="466"/>
      <c r="F87" s="458"/>
      <c r="G87" s="458">
        <f aca="true" t="shared" si="21" ref="G87:G94">C87+F87</f>
        <v>1270</v>
      </c>
      <c r="H87" s="458"/>
      <c r="I87" s="458">
        <f aca="true" t="shared" si="22" ref="I87:I94">G87+H87</f>
        <v>1270</v>
      </c>
      <c r="J87" s="458"/>
      <c r="K87" s="458">
        <f aca="true" t="shared" si="23" ref="K87:K96">I87+J87</f>
        <v>1270</v>
      </c>
      <c r="L87" s="458">
        <v>-1270</v>
      </c>
      <c r="M87" s="458">
        <f aca="true" t="shared" si="24" ref="M87:M96">K87+L87</f>
        <v>0</v>
      </c>
      <c r="N87" s="573"/>
      <c r="O87" s="573"/>
      <c r="P87" s="573"/>
      <c r="Q87" s="573"/>
      <c r="R87" s="697">
        <v>0</v>
      </c>
    </row>
    <row r="88" spans="1:18" ht="12.75" customHeight="1">
      <c r="A88" s="465"/>
      <c r="B88" s="457" t="s">
        <v>42</v>
      </c>
      <c r="C88" s="458">
        <v>762</v>
      </c>
      <c r="D88" s="464"/>
      <c r="E88" s="466"/>
      <c r="F88" s="458"/>
      <c r="G88" s="458">
        <f t="shared" si="21"/>
        <v>762</v>
      </c>
      <c r="H88" s="458"/>
      <c r="I88" s="458">
        <f t="shared" si="22"/>
        <v>762</v>
      </c>
      <c r="J88" s="458"/>
      <c r="K88" s="458">
        <f t="shared" si="23"/>
        <v>762</v>
      </c>
      <c r="L88" s="458">
        <v>-762</v>
      </c>
      <c r="M88" s="458">
        <f t="shared" si="24"/>
        <v>0</v>
      </c>
      <c r="N88" s="466"/>
      <c r="O88" s="466"/>
      <c r="P88" s="466"/>
      <c r="Q88" s="466"/>
      <c r="R88" s="697">
        <v>0</v>
      </c>
    </row>
    <row r="89" spans="1:18" ht="12.75" customHeight="1">
      <c r="A89" s="465"/>
      <c r="B89" s="457" t="s">
        <v>518</v>
      </c>
      <c r="C89" s="458">
        <v>10000</v>
      </c>
      <c r="D89" s="464"/>
      <c r="E89" s="466"/>
      <c r="F89" s="458"/>
      <c r="G89" s="458">
        <f t="shared" si="21"/>
        <v>10000</v>
      </c>
      <c r="H89" s="458"/>
      <c r="I89" s="458">
        <f t="shared" si="22"/>
        <v>10000</v>
      </c>
      <c r="J89" s="458"/>
      <c r="K89" s="458">
        <f t="shared" si="23"/>
        <v>10000</v>
      </c>
      <c r="L89" s="458">
        <v>-3379</v>
      </c>
      <c r="M89" s="458">
        <f t="shared" si="24"/>
        <v>6621</v>
      </c>
      <c r="N89" s="466"/>
      <c r="O89" s="466"/>
      <c r="P89" s="466"/>
      <c r="Q89" s="466"/>
      <c r="R89" s="697">
        <v>4081</v>
      </c>
    </row>
    <row r="90" spans="1:18" ht="12.75" customHeight="1">
      <c r="A90" s="470"/>
      <c r="B90" s="457" t="s">
        <v>43</v>
      </c>
      <c r="C90" s="458">
        <v>3500</v>
      </c>
      <c r="D90" s="464"/>
      <c r="E90" s="466"/>
      <c r="F90" s="458"/>
      <c r="G90" s="458">
        <f t="shared" si="21"/>
        <v>3500</v>
      </c>
      <c r="H90" s="458">
        <v>-474</v>
      </c>
      <c r="I90" s="458">
        <f t="shared" si="22"/>
        <v>3026</v>
      </c>
      <c r="J90" s="458"/>
      <c r="K90" s="458">
        <f t="shared" si="23"/>
        <v>3026</v>
      </c>
      <c r="L90" s="458"/>
      <c r="M90" s="458">
        <f t="shared" si="24"/>
        <v>3026</v>
      </c>
      <c r="N90" s="573"/>
      <c r="O90" s="573"/>
      <c r="P90" s="573"/>
      <c r="Q90" s="573"/>
      <c r="R90" s="697">
        <v>1929</v>
      </c>
    </row>
    <row r="91" spans="1:18" ht="12.75" customHeight="1">
      <c r="A91" s="465"/>
      <c r="B91" s="457" t="s">
        <v>44</v>
      </c>
      <c r="C91" s="458">
        <v>50</v>
      </c>
      <c r="D91" s="464"/>
      <c r="E91" s="466"/>
      <c r="F91" s="458"/>
      <c r="G91" s="458">
        <f t="shared" si="21"/>
        <v>50</v>
      </c>
      <c r="H91" s="458"/>
      <c r="I91" s="458">
        <f t="shared" si="22"/>
        <v>50</v>
      </c>
      <c r="J91" s="458"/>
      <c r="K91" s="458">
        <f t="shared" si="23"/>
        <v>50</v>
      </c>
      <c r="L91" s="458"/>
      <c r="M91" s="458">
        <f t="shared" si="24"/>
        <v>50</v>
      </c>
      <c r="N91" s="466"/>
      <c r="O91" s="466"/>
      <c r="P91" s="466"/>
      <c r="Q91" s="466"/>
      <c r="R91" s="697">
        <v>0</v>
      </c>
    </row>
    <row r="92" spans="1:18" ht="12.75" customHeight="1">
      <c r="A92" s="465"/>
      <c r="B92" s="457" t="s">
        <v>45</v>
      </c>
      <c r="C92" s="458">
        <v>300</v>
      </c>
      <c r="D92" s="464"/>
      <c r="E92" s="466"/>
      <c r="F92" s="458"/>
      <c r="G92" s="458">
        <f t="shared" si="21"/>
        <v>300</v>
      </c>
      <c r="H92" s="458"/>
      <c r="I92" s="458">
        <f t="shared" si="22"/>
        <v>300</v>
      </c>
      <c r="J92" s="458">
        <v>-156</v>
      </c>
      <c r="K92" s="458">
        <f t="shared" si="23"/>
        <v>144</v>
      </c>
      <c r="L92" s="458"/>
      <c r="M92" s="458">
        <f t="shared" si="24"/>
        <v>144</v>
      </c>
      <c r="N92" s="466"/>
      <c r="O92" s="466"/>
      <c r="P92" s="466"/>
      <c r="Q92" s="466"/>
      <c r="R92" s="697">
        <v>90</v>
      </c>
    </row>
    <row r="93" spans="1:18" ht="12.75" customHeight="1">
      <c r="A93" s="444"/>
      <c r="B93" s="457" t="s">
        <v>46</v>
      </c>
      <c r="C93" s="458">
        <v>600</v>
      </c>
      <c r="D93" s="464"/>
      <c r="E93" s="466"/>
      <c r="F93" s="458"/>
      <c r="G93" s="458">
        <f t="shared" si="21"/>
        <v>600</v>
      </c>
      <c r="H93" s="458"/>
      <c r="I93" s="458">
        <f t="shared" si="22"/>
        <v>600</v>
      </c>
      <c r="J93" s="458">
        <v>-353</v>
      </c>
      <c r="K93" s="458">
        <f t="shared" si="23"/>
        <v>247</v>
      </c>
      <c r="L93" s="458"/>
      <c r="M93" s="458">
        <f t="shared" si="24"/>
        <v>247</v>
      </c>
      <c r="N93" s="459"/>
      <c r="O93" s="459"/>
      <c r="P93" s="459"/>
      <c r="Q93" s="459"/>
      <c r="R93" s="697">
        <v>246</v>
      </c>
    </row>
    <row r="94" spans="1:18" ht="12.75" customHeight="1">
      <c r="A94" s="465"/>
      <c r="B94" s="457" t="s">
        <v>304</v>
      </c>
      <c r="C94" s="458">
        <v>14935</v>
      </c>
      <c r="D94" s="464"/>
      <c r="E94" s="466"/>
      <c r="F94" s="458"/>
      <c r="G94" s="458">
        <f t="shared" si="21"/>
        <v>14935</v>
      </c>
      <c r="H94" s="458">
        <v>-6278</v>
      </c>
      <c r="I94" s="458">
        <f t="shared" si="22"/>
        <v>8657</v>
      </c>
      <c r="J94" s="458"/>
      <c r="K94" s="458">
        <f t="shared" si="23"/>
        <v>8657</v>
      </c>
      <c r="L94" s="458"/>
      <c r="M94" s="458">
        <f t="shared" si="24"/>
        <v>8657</v>
      </c>
      <c r="N94" s="466"/>
      <c r="O94" s="466"/>
      <c r="P94" s="466"/>
      <c r="Q94" s="466"/>
      <c r="R94" s="697">
        <v>1492</v>
      </c>
    </row>
    <row r="95" spans="1:18" ht="12.75" customHeight="1">
      <c r="A95" s="465"/>
      <c r="B95" s="457" t="s">
        <v>759</v>
      </c>
      <c r="C95" s="458"/>
      <c r="D95" s="464"/>
      <c r="E95" s="466"/>
      <c r="F95" s="458"/>
      <c r="G95" s="458">
        <v>647</v>
      </c>
      <c r="H95" s="458"/>
      <c r="I95" s="458">
        <v>647</v>
      </c>
      <c r="J95" s="458"/>
      <c r="K95" s="458">
        <f t="shared" si="23"/>
        <v>647</v>
      </c>
      <c r="L95" s="458"/>
      <c r="M95" s="458">
        <f t="shared" si="24"/>
        <v>647</v>
      </c>
      <c r="N95" s="466"/>
      <c r="O95" s="466"/>
      <c r="P95" s="466"/>
      <c r="Q95" s="466"/>
      <c r="R95" s="697">
        <v>647</v>
      </c>
    </row>
    <row r="96" spans="1:18" ht="12.75" customHeight="1">
      <c r="A96" s="465"/>
      <c r="B96" s="457" t="s">
        <v>808</v>
      </c>
      <c r="C96" s="458"/>
      <c r="D96" s="464"/>
      <c r="E96" s="466"/>
      <c r="F96" s="458"/>
      <c r="G96" s="458"/>
      <c r="H96" s="458"/>
      <c r="I96" s="458"/>
      <c r="J96" s="458">
        <v>5</v>
      </c>
      <c r="K96" s="458">
        <f t="shared" si="23"/>
        <v>5</v>
      </c>
      <c r="L96" s="458"/>
      <c r="M96" s="458">
        <f t="shared" si="24"/>
        <v>5</v>
      </c>
      <c r="N96" s="466"/>
      <c r="O96" s="466"/>
      <c r="P96" s="466"/>
      <c r="Q96" s="466"/>
      <c r="R96" s="697">
        <v>5</v>
      </c>
    </row>
    <row r="97" spans="1:18" ht="12.75" customHeight="1">
      <c r="A97" s="465"/>
      <c r="B97" s="457"/>
      <c r="C97" s="458"/>
      <c r="D97" s="464"/>
      <c r="E97" s="466"/>
      <c r="F97" s="458"/>
      <c r="G97" s="460"/>
      <c r="H97" s="460"/>
      <c r="I97" s="460"/>
      <c r="J97" s="460"/>
      <c r="K97" s="460"/>
      <c r="L97" s="460"/>
      <c r="M97" s="460"/>
      <c r="N97" s="466"/>
      <c r="O97" s="466"/>
      <c r="P97" s="466"/>
      <c r="Q97" s="466"/>
      <c r="R97" s="697"/>
    </row>
    <row r="98" spans="1:18" ht="12.75" customHeight="1">
      <c r="A98" s="465"/>
      <c r="B98" s="467" t="s">
        <v>552</v>
      </c>
      <c r="C98" s="468">
        <f aca="true" t="shared" si="25" ref="C98:R98">SUM(C99)</f>
        <v>191</v>
      </c>
      <c r="D98" s="468">
        <f t="shared" si="25"/>
        <v>0</v>
      </c>
      <c r="E98" s="468">
        <f t="shared" si="25"/>
        <v>0</v>
      </c>
      <c r="F98" s="468">
        <f t="shared" si="25"/>
        <v>0</v>
      </c>
      <c r="G98" s="468">
        <f t="shared" si="25"/>
        <v>191</v>
      </c>
      <c r="H98" s="468">
        <f t="shared" si="25"/>
        <v>0</v>
      </c>
      <c r="I98" s="468">
        <f t="shared" si="25"/>
        <v>191</v>
      </c>
      <c r="J98" s="468">
        <f t="shared" si="25"/>
        <v>-163</v>
      </c>
      <c r="K98" s="468">
        <f t="shared" si="25"/>
        <v>28</v>
      </c>
      <c r="L98" s="468">
        <f t="shared" si="25"/>
        <v>0</v>
      </c>
      <c r="M98" s="468">
        <f t="shared" si="25"/>
        <v>28</v>
      </c>
      <c r="N98" s="468">
        <f t="shared" si="25"/>
        <v>0</v>
      </c>
      <c r="O98" s="468">
        <f t="shared" si="25"/>
        <v>0</v>
      </c>
      <c r="P98" s="468">
        <f t="shared" si="25"/>
        <v>0</v>
      </c>
      <c r="Q98" s="468">
        <f t="shared" si="25"/>
        <v>0</v>
      </c>
      <c r="R98" s="469">
        <f t="shared" si="25"/>
        <v>28</v>
      </c>
    </row>
    <row r="99" spans="1:18" ht="12.75" customHeight="1">
      <c r="A99" s="465"/>
      <c r="B99" s="457" t="s">
        <v>553</v>
      </c>
      <c r="C99" s="458">
        <v>191</v>
      </c>
      <c r="D99" s="464"/>
      <c r="E99" s="466"/>
      <c r="F99" s="458"/>
      <c r="G99" s="458">
        <f>C99+F99</f>
        <v>191</v>
      </c>
      <c r="H99" s="458"/>
      <c r="I99" s="458">
        <f>G99+H99</f>
        <v>191</v>
      </c>
      <c r="J99" s="458">
        <v>-163</v>
      </c>
      <c r="K99" s="458">
        <f>I99+J99</f>
        <v>28</v>
      </c>
      <c r="L99" s="458"/>
      <c r="M99" s="458">
        <f>K99+L99</f>
        <v>28</v>
      </c>
      <c r="N99" s="466"/>
      <c r="O99" s="466"/>
      <c r="P99" s="466"/>
      <c r="Q99" s="466"/>
      <c r="R99" s="697">
        <v>28</v>
      </c>
    </row>
    <row r="100" spans="1:18" ht="12.75" customHeight="1">
      <c r="A100" s="465"/>
      <c r="B100" s="457"/>
      <c r="C100" s="458"/>
      <c r="D100" s="464"/>
      <c r="E100" s="466"/>
      <c r="F100" s="458"/>
      <c r="G100" s="458"/>
      <c r="H100" s="458"/>
      <c r="I100" s="458"/>
      <c r="J100" s="458"/>
      <c r="K100" s="460"/>
      <c r="L100" s="460"/>
      <c r="M100" s="460"/>
      <c r="N100" s="466"/>
      <c r="O100" s="466"/>
      <c r="P100" s="466"/>
      <c r="Q100" s="466"/>
      <c r="R100" s="697"/>
    </row>
    <row r="101" spans="1:18" ht="12.75" customHeight="1">
      <c r="A101" s="465"/>
      <c r="B101" s="467" t="s">
        <v>551</v>
      </c>
      <c r="C101" s="468"/>
      <c r="D101" s="468"/>
      <c r="E101" s="468"/>
      <c r="F101" s="468"/>
      <c r="G101" s="468"/>
      <c r="H101" s="468">
        <f aca="true" t="shared" si="26" ref="H101:R101">SUM(H102)</f>
        <v>570</v>
      </c>
      <c r="I101" s="468">
        <f t="shared" si="26"/>
        <v>570</v>
      </c>
      <c r="J101" s="468">
        <f t="shared" si="26"/>
        <v>250</v>
      </c>
      <c r="K101" s="468">
        <f t="shared" si="26"/>
        <v>820</v>
      </c>
      <c r="L101" s="468">
        <f t="shared" si="26"/>
        <v>0</v>
      </c>
      <c r="M101" s="468">
        <f t="shared" si="26"/>
        <v>820</v>
      </c>
      <c r="N101" s="468">
        <f t="shared" si="26"/>
        <v>0</v>
      </c>
      <c r="O101" s="468">
        <f t="shared" si="26"/>
        <v>0</v>
      </c>
      <c r="P101" s="468">
        <f t="shared" si="26"/>
        <v>0</v>
      </c>
      <c r="Q101" s="468">
        <f t="shared" si="26"/>
        <v>0</v>
      </c>
      <c r="R101" s="469">
        <f t="shared" si="26"/>
        <v>812</v>
      </c>
    </row>
    <row r="102" spans="1:18" ht="12.75" customHeight="1">
      <c r="A102" s="465"/>
      <c r="B102" s="457" t="s">
        <v>553</v>
      </c>
      <c r="C102" s="458"/>
      <c r="D102" s="464"/>
      <c r="E102" s="466"/>
      <c r="F102" s="458"/>
      <c r="G102" s="458"/>
      <c r="H102" s="458">
        <v>570</v>
      </c>
      <c r="I102" s="458">
        <f>G102+H102</f>
        <v>570</v>
      </c>
      <c r="J102" s="458">
        <v>250</v>
      </c>
      <c r="K102" s="458">
        <f>I102+J102</f>
        <v>820</v>
      </c>
      <c r="L102" s="458"/>
      <c r="M102" s="458">
        <f>K102+L102</f>
        <v>820</v>
      </c>
      <c r="N102" s="466"/>
      <c r="O102" s="466"/>
      <c r="P102" s="466"/>
      <c r="Q102" s="466"/>
      <c r="R102" s="697">
        <v>812</v>
      </c>
    </row>
    <row r="103" spans="1:18" ht="12.75" customHeight="1">
      <c r="A103" s="465"/>
      <c r="B103" s="457"/>
      <c r="C103" s="458"/>
      <c r="D103" s="464"/>
      <c r="E103" s="466"/>
      <c r="F103" s="458"/>
      <c r="G103" s="460"/>
      <c r="H103" s="460"/>
      <c r="I103" s="460"/>
      <c r="J103" s="460"/>
      <c r="K103" s="460"/>
      <c r="L103" s="460"/>
      <c r="M103" s="460"/>
      <c r="N103" s="466"/>
      <c r="O103" s="466"/>
      <c r="P103" s="466"/>
      <c r="Q103" s="466"/>
      <c r="R103" s="697"/>
    </row>
    <row r="104" spans="1:18" ht="12.75" customHeight="1">
      <c r="A104" s="465"/>
      <c r="B104" s="461" t="s">
        <v>13</v>
      </c>
      <c r="C104" s="462">
        <f>SUM(C105:C121)</f>
        <v>12903</v>
      </c>
      <c r="D104" s="462">
        <f>SUM(D105:D112)</f>
        <v>0</v>
      </c>
      <c r="E104" s="462">
        <f>SUM(E105:E112)</f>
        <v>0</v>
      </c>
      <c r="F104" s="462">
        <f>SUM(F105:F119)</f>
        <v>26361</v>
      </c>
      <c r="G104" s="462">
        <f aca="true" t="shared" si="27" ref="G104:L104">SUM(G105:G120)</f>
        <v>39909</v>
      </c>
      <c r="H104" s="462">
        <f t="shared" si="27"/>
        <v>5344</v>
      </c>
      <c r="I104" s="462">
        <f t="shared" si="27"/>
        <v>45253</v>
      </c>
      <c r="J104" s="462">
        <f t="shared" si="27"/>
        <v>2975</v>
      </c>
      <c r="K104" s="462">
        <f>SUM(K105:K121)</f>
        <v>48228</v>
      </c>
      <c r="L104" s="462">
        <f t="shared" si="27"/>
        <v>1364</v>
      </c>
      <c r="M104" s="462">
        <f aca="true" t="shared" si="28" ref="M104:R104">SUM(M105:M121)</f>
        <v>49883</v>
      </c>
      <c r="N104" s="462">
        <f t="shared" si="28"/>
        <v>2555</v>
      </c>
      <c r="O104" s="462">
        <f t="shared" si="28"/>
        <v>0</v>
      </c>
      <c r="P104" s="462">
        <f t="shared" si="28"/>
        <v>0</v>
      </c>
      <c r="Q104" s="462">
        <f t="shared" si="28"/>
        <v>0</v>
      </c>
      <c r="R104" s="463">
        <f t="shared" si="28"/>
        <v>44496</v>
      </c>
    </row>
    <row r="105" spans="1:18" ht="12.75" customHeight="1">
      <c r="A105" s="465"/>
      <c r="B105" s="457" t="s">
        <v>535</v>
      </c>
      <c r="C105" s="458">
        <v>830</v>
      </c>
      <c r="D105" s="464"/>
      <c r="E105" s="466"/>
      <c r="F105" s="458"/>
      <c r="G105" s="458">
        <f>C105+F105</f>
        <v>830</v>
      </c>
      <c r="H105" s="458"/>
      <c r="I105" s="458">
        <f>G105+H105</f>
        <v>830</v>
      </c>
      <c r="J105" s="458"/>
      <c r="K105" s="458">
        <f>I105+J105</f>
        <v>830</v>
      </c>
      <c r="L105" s="458"/>
      <c r="M105" s="458">
        <f>K105+L105</f>
        <v>830</v>
      </c>
      <c r="N105" s="466"/>
      <c r="O105" s="466"/>
      <c r="P105" s="466"/>
      <c r="Q105" s="466"/>
      <c r="R105" s="697">
        <v>538</v>
      </c>
    </row>
    <row r="106" spans="1:18" ht="12.75" customHeight="1">
      <c r="A106" s="465"/>
      <c r="B106" s="457" t="s">
        <v>760</v>
      </c>
      <c r="C106" s="458"/>
      <c r="D106" s="464"/>
      <c r="E106" s="466"/>
      <c r="F106" s="458"/>
      <c r="G106" s="458"/>
      <c r="H106" s="458">
        <v>12</v>
      </c>
      <c r="I106" s="458">
        <f>G106+H106</f>
        <v>12</v>
      </c>
      <c r="J106" s="458"/>
      <c r="K106" s="458">
        <f aca="true" t="shared" si="29" ref="K106:K120">I106+J106</f>
        <v>12</v>
      </c>
      <c r="L106" s="458">
        <v>150</v>
      </c>
      <c r="M106" s="458">
        <f aca="true" t="shared" si="30" ref="M106:M121">K106+L106</f>
        <v>162</v>
      </c>
      <c r="N106" s="466">
        <v>150</v>
      </c>
      <c r="O106" s="466"/>
      <c r="P106" s="466"/>
      <c r="Q106" s="466"/>
      <c r="R106" s="697">
        <v>160</v>
      </c>
    </row>
    <row r="107" spans="1:18" ht="12.75" customHeight="1">
      <c r="A107" s="465"/>
      <c r="B107" s="457" t="s">
        <v>510</v>
      </c>
      <c r="C107" s="458">
        <v>2000</v>
      </c>
      <c r="D107" s="464"/>
      <c r="E107" s="466"/>
      <c r="F107" s="458"/>
      <c r="G107" s="458">
        <f aca="true" t="shared" si="31" ref="G107:G119">C107+F107</f>
        <v>2000</v>
      </c>
      <c r="H107" s="458"/>
      <c r="I107" s="458">
        <f aca="true" t="shared" si="32" ref="I107:I120">G107+H107</f>
        <v>2000</v>
      </c>
      <c r="J107" s="458"/>
      <c r="K107" s="458">
        <f t="shared" si="29"/>
        <v>2000</v>
      </c>
      <c r="L107" s="458">
        <v>196</v>
      </c>
      <c r="M107" s="458">
        <f t="shared" si="30"/>
        <v>2196</v>
      </c>
      <c r="N107" s="466">
        <v>196</v>
      </c>
      <c r="O107" s="466"/>
      <c r="P107" s="466"/>
      <c r="Q107" s="466"/>
      <c r="R107" s="697">
        <v>2196</v>
      </c>
    </row>
    <row r="108" spans="1:18" ht="12.75" customHeight="1">
      <c r="A108" s="465"/>
      <c r="B108" s="457" t="s">
        <v>511</v>
      </c>
      <c r="C108" s="458">
        <v>760</v>
      </c>
      <c r="D108" s="464"/>
      <c r="E108" s="466"/>
      <c r="F108" s="458"/>
      <c r="G108" s="458">
        <f t="shared" si="31"/>
        <v>760</v>
      </c>
      <c r="H108" s="458"/>
      <c r="I108" s="458">
        <f t="shared" si="32"/>
        <v>760</v>
      </c>
      <c r="J108" s="458"/>
      <c r="K108" s="458">
        <f t="shared" si="29"/>
        <v>760</v>
      </c>
      <c r="L108" s="458"/>
      <c r="M108" s="458">
        <f t="shared" si="30"/>
        <v>760</v>
      </c>
      <c r="N108" s="466"/>
      <c r="O108" s="466"/>
      <c r="P108" s="466"/>
      <c r="Q108" s="466"/>
      <c r="R108" s="697">
        <v>747</v>
      </c>
    </row>
    <row r="109" spans="1:18" ht="12.75" customHeight="1">
      <c r="A109" s="465"/>
      <c r="B109" s="457" t="s">
        <v>539</v>
      </c>
      <c r="C109" s="458">
        <v>900</v>
      </c>
      <c r="D109" s="464"/>
      <c r="E109" s="466"/>
      <c r="F109" s="458"/>
      <c r="G109" s="458">
        <f t="shared" si="31"/>
        <v>900</v>
      </c>
      <c r="H109" s="458">
        <v>100</v>
      </c>
      <c r="I109" s="458">
        <f t="shared" si="32"/>
        <v>1000</v>
      </c>
      <c r="J109" s="458">
        <v>50</v>
      </c>
      <c r="K109" s="458">
        <f t="shared" si="29"/>
        <v>1050</v>
      </c>
      <c r="L109" s="458"/>
      <c r="M109" s="458">
        <f t="shared" si="30"/>
        <v>1050</v>
      </c>
      <c r="N109" s="466"/>
      <c r="O109" s="466"/>
      <c r="P109" s="466"/>
      <c r="Q109" s="466"/>
      <c r="R109" s="697">
        <v>999</v>
      </c>
    </row>
    <row r="110" spans="1:18" ht="26.25" customHeight="1">
      <c r="A110" s="465"/>
      <c r="B110" s="457" t="s">
        <v>534</v>
      </c>
      <c r="C110" s="458">
        <v>1293</v>
      </c>
      <c r="D110" s="464"/>
      <c r="E110" s="466"/>
      <c r="F110" s="458">
        <f>800+651</f>
        <v>1451</v>
      </c>
      <c r="G110" s="458">
        <f t="shared" si="31"/>
        <v>2744</v>
      </c>
      <c r="H110" s="458"/>
      <c r="I110" s="458">
        <f t="shared" si="32"/>
        <v>2744</v>
      </c>
      <c r="J110" s="458">
        <v>-250</v>
      </c>
      <c r="K110" s="458">
        <f t="shared" si="29"/>
        <v>2494</v>
      </c>
      <c r="L110" s="458">
        <v>940</v>
      </c>
      <c r="M110" s="458">
        <f t="shared" si="30"/>
        <v>3434</v>
      </c>
      <c r="N110" s="466">
        <v>940</v>
      </c>
      <c r="O110" s="466"/>
      <c r="P110" s="466"/>
      <c r="Q110" s="466"/>
      <c r="R110" s="697">
        <v>3121</v>
      </c>
    </row>
    <row r="111" spans="1:18" ht="14.25" customHeight="1">
      <c r="A111" s="449"/>
      <c r="B111" s="457" t="s">
        <v>671</v>
      </c>
      <c r="C111" s="458">
        <v>6120</v>
      </c>
      <c r="D111" s="464"/>
      <c r="E111" s="466"/>
      <c r="F111" s="458">
        <v>200</v>
      </c>
      <c r="G111" s="458">
        <f t="shared" si="31"/>
        <v>6320</v>
      </c>
      <c r="H111" s="458"/>
      <c r="I111" s="458">
        <f t="shared" si="32"/>
        <v>6320</v>
      </c>
      <c r="J111" s="458"/>
      <c r="K111" s="458">
        <f t="shared" si="29"/>
        <v>6320</v>
      </c>
      <c r="L111" s="458"/>
      <c r="M111" s="458">
        <f t="shared" si="30"/>
        <v>6320</v>
      </c>
      <c r="N111" s="473"/>
      <c r="O111" s="473"/>
      <c r="P111" s="473"/>
      <c r="Q111" s="473"/>
      <c r="R111" s="697">
        <v>6162</v>
      </c>
    </row>
    <row r="112" spans="1:18" ht="12.75" customHeight="1">
      <c r="A112" s="449"/>
      <c r="B112" s="457" t="s">
        <v>536</v>
      </c>
      <c r="C112" s="458">
        <v>1000</v>
      </c>
      <c r="D112" s="464"/>
      <c r="E112" s="466"/>
      <c r="F112" s="458"/>
      <c r="G112" s="458">
        <f t="shared" si="31"/>
        <v>1000</v>
      </c>
      <c r="H112" s="458"/>
      <c r="I112" s="458">
        <f t="shared" si="32"/>
        <v>1000</v>
      </c>
      <c r="J112" s="458"/>
      <c r="K112" s="458">
        <f t="shared" si="29"/>
        <v>1000</v>
      </c>
      <c r="L112" s="458">
        <v>-600</v>
      </c>
      <c r="M112" s="458">
        <f t="shared" si="30"/>
        <v>400</v>
      </c>
      <c r="N112" s="473"/>
      <c r="O112" s="473"/>
      <c r="P112" s="473"/>
      <c r="Q112" s="473"/>
      <c r="R112" s="697">
        <v>192</v>
      </c>
    </row>
    <row r="113" spans="1:18" ht="12.75" customHeight="1">
      <c r="A113" s="449"/>
      <c r="B113" s="457" t="s">
        <v>672</v>
      </c>
      <c r="C113" s="458"/>
      <c r="D113" s="464"/>
      <c r="E113" s="466"/>
      <c r="F113" s="458">
        <v>313</v>
      </c>
      <c r="G113" s="458">
        <f t="shared" si="31"/>
        <v>313</v>
      </c>
      <c r="H113" s="458"/>
      <c r="I113" s="458">
        <f t="shared" si="32"/>
        <v>313</v>
      </c>
      <c r="J113" s="458">
        <v>80</v>
      </c>
      <c r="K113" s="458">
        <f t="shared" si="29"/>
        <v>393</v>
      </c>
      <c r="L113" s="458">
        <v>11</v>
      </c>
      <c r="M113" s="458">
        <f t="shared" si="30"/>
        <v>404</v>
      </c>
      <c r="N113" s="473">
        <v>11</v>
      </c>
      <c r="O113" s="473"/>
      <c r="P113" s="473"/>
      <c r="Q113" s="473"/>
      <c r="R113" s="697">
        <v>403</v>
      </c>
    </row>
    <row r="114" spans="1:18" ht="12.75" customHeight="1">
      <c r="A114" s="449"/>
      <c r="B114" s="457" t="s">
        <v>673</v>
      </c>
      <c r="C114" s="458"/>
      <c r="D114" s="464"/>
      <c r="E114" s="466"/>
      <c r="F114" s="458">
        <v>454</v>
      </c>
      <c r="G114" s="458">
        <f t="shared" si="31"/>
        <v>454</v>
      </c>
      <c r="H114" s="458">
        <v>640</v>
      </c>
      <c r="I114" s="458">
        <f t="shared" si="32"/>
        <v>1094</v>
      </c>
      <c r="J114" s="458">
        <f>475+60</f>
        <v>535</v>
      </c>
      <c r="K114" s="458">
        <f t="shared" si="29"/>
        <v>1629</v>
      </c>
      <c r="L114" s="458"/>
      <c r="M114" s="458">
        <f t="shared" si="30"/>
        <v>1629</v>
      </c>
      <c r="N114" s="473"/>
      <c r="O114" s="473"/>
      <c r="P114" s="473"/>
      <c r="Q114" s="473"/>
      <c r="R114" s="697">
        <v>1629</v>
      </c>
    </row>
    <row r="115" spans="1:18" ht="12.75" customHeight="1">
      <c r="A115" s="471"/>
      <c r="B115" s="457" t="s">
        <v>761</v>
      </c>
      <c r="C115" s="458"/>
      <c r="D115" s="464"/>
      <c r="E115" s="466"/>
      <c r="F115" s="458"/>
      <c r="G115" s="458"/>
      <c r="H115" s="458">
        <v>305</v>
      </c>
      <c r="I115" s="458">
        <f t="shared" si="32"/>
        <v>305</v>
      </c>
      <c r="J115" s="458">
        <v>300</v>
      </c>
      <c r="K115" s="458">
        <f t="shared" si="29"/>
        <v>605</v>
      </c>
      <c r="L115" s="458">
        <v>-300</v>
      </c>
      <c r="M115" s="458">
        <f t="shared" si="30"/>
        <v>305</v>
      </c>
      <c r="N115" s="574"/>
      <c r="O115" s="574"/>
      <c r="P115" s="574"/>
      <c r="Q115" s="574"/>
      <c r="R115" s="698">
        <v>274</v>
      </c>
    </row>
    <row r="116" spans="1:18" ht="12.75" customHeight="1">
      <c r="A116" s="444"/>
      <c r="B116" s="457" t="s">
        <v>762</v>
      </c>
      <c r="C116" s="458"/>
      <c r="D116" s="464"/>
      <c r="E116" s="466"/>
      <c r="F116" s="458"/>
      <c r="G116" s="458"/>
      <c r="H116" s="458">
        <v>180</v>
      </c>
      <c r="I116" s="458">
        <f t="shared" si="32"/>
        <v>180</v>
      </c>
      <c r="J116" s="458">
        <v>1000</v>
      </c>
      <c r="K116" s="458">
        <f t="shared" si="29"/>
        <v>1180</v>
      </c>
      <c r="L116" s="458">
        <v>148</v>
      </c>
      <c r="M116" s="458">
        <f t="shared" si="30"/>
        <v>1328</v>
      </c>
      <c r="N116" s="459">
        <v>148</v>
      </c>
      <c r="O116" s="459"/>
      <c r="P116" s="459"/>
      <c r="Q116" s="459"/>
      <c r="R116" s="697">
        <v>1210</v>
      </c>
    </row>
    <row r="117" spans="1:18" ht="12.75" customHeight="1">
      <c r="A117" s="472" t="s">
        <v>17</v>
      </c>
      <c r="B117" s="457" t="s">
        <v>763</v>
      </c>
      <c r="C117" s="458"/>
      <c r="D117" s="464"/>
      <c r="E117" s="466"/>
      <c r="F117" s="458"/>
      <c r="G117" s="458"/>
      <c r="H117" s="458">
        <v>109</v>
      </c>
      <c r="I117" s="458">
        <f t="shared" si="32"/>
        <v>109</v>
      </c>
      <c r="J117" s="458">
        <v>750</v>
      </c>
      <c r="K117" s="458">
        <f t="shared" si="29"/>
        <v>859</v>
      </c>
      <c r="L117" s="458">
        <v>5</v>
      </c>
      <c r="M117" s="458">
        <f t="shared" si="30"/>
        <v>864</v>
      </c>
      <c r="N117" s="460">
        <v>5</v>
      </c>
      <c r="O117" s="460"/>
      <c r="P117" s="460"/>
      <c r="Q117" s="460"/>
      <c r="R117" s="697">
        <v>864</v>
      </c>
    </row>
    <row r="118" spans="1:18" ht="12.75" customHeight="1">
      <c r="A118" s="472" t="s">
        <v>48</v>
      </c>
      <c r="B118" s="457" t="s">
        <v>674</v>
      </c>
      <c r="C118" s="458"/>
      <c r="D118" s="464"/>
      <c r="E118" s="466"/>
      <c r="F118" s="458">
        <v>200</v>
      </c>
      <c r="G118" s="458">
        <f t="shared" si="31"/>
        <v>200</v>
      </c>
      <c r="H118" s="458">
        <f>198+200</f>
        <v>398</v>
      </c>
      <c r="I118" s="458">
        <f t="shared" si="32"/>
        <v>598</v>
      </c>
      <c r="J118" s="458">
        <v>510</v>
      </c>
      <c r="K118" s="458">
        <f t="shared" si="29"/>
        <v>1108</v>
      </c>
      <c r="L118" s="458">
        <v>63</v>
      </c>
      <c r="M118" s="458">
        <f t="shared" si="30"/>
        <v>1171</v>
      </c>
      <c r="N118" s="460">
        <v>63</v>
      </c>
      <c r="O118" s="460"/>
      <c r="P118" s="460"/>
      <c r="Q118" s="460"/>
      <c r="R118" s="697">
        <v>1147</v>
      </c>
    </row>
    <row r="119" spans="1:18" ht="12.75" customHeight="1">
      <c r="A119" s="472" t="s">
        <v>56</v>
      </c>
      <c r="B119" s="457" t="s">
        <v>675</v>
      </c>
      <c r="C119" s="458"/>
      <c r="D119" s="464"/>
      <c r="E119" s="466"/>
      <c r="F119" s="458">
        <f>8382+1961+13400</f>
        <v>23743</v>
      </c>
      <c r="G119" s="458">
        <f t="shared" si="31"/>
        <v>23743</v>
      </c>
      <c r="H119" s="458">
        <f>900+2700</f>
        <v>3600</v>
      </c>
      <c r="I119" s="458">
        <f t="shared" si="32"/>
        <v>27343</v>
      </c>
      <c r="J119" s="458"/>
      <c r="K119" s="458">
        <f t="shared" si="29"/>
        <v>27343</v>
      </c>
      <c r="L119" s="458"/>
      <c r="M119" s="458">
        <f t="shared" si="30"/>
        <v>27343</v>
      </c>
      <c r="N119" s="460"/>
      <c r="O119" s="460"/>
      <c r="P119" s="460"/>
      <c r="Q119" s="460"/>
      <c r="R119" s="697">
        <v>23167</v>
      </c>
    </row>
    <row r="120" spans="1:18" ht="12.75" customHeight="1">
      <c r="A120" s="472" t="s">
        <v>62</v>
      </c>
      <c r="B120" s="457" t="s">
        <v>993</v>
      </c>
      <c r="C120" s="458"/>
      <c r="D120" s="464"/>
      <c r="E120" s="466"/>
      <c r="F120" s="458"/>
      <c r="G120" s="458">
        <v>645</v>
      </c>
      <c r="H120" s="458"/>
      <c r="I120" s="458">
        <f t="shared" si="32"/>
        <v>645</v>
      </c>
      <c r="J120" s="458"/>
      <c r="K120" s="458">
        <f t="shared" si="29"/>
        <v>645</v>
      </c>
      <c r="L120" s="458">
        <v>751</v>
      </c>
      <c r="M120" s="458">
        <f t="shared" si="30"/>
        <v>1396</v>
      </c>
      <c r="N120" s="460">
        <v>751</v>
      </c>
      <c r="O120" s="460"/>
      <c r="P120" s="460"/>
      <c r="Q120" s="460"/>
      <c r="R120" s="697">
        <v>1396</v>
      </c>
    </row>
    <row r="121" spans="1:18" ht="12.75" customHeight="1">
      <c r="A121" s="472"/>
      <c r="B121" s="457" t="s">
        <v>994</v>
      </c>
      <c r="C121" s="458"/>
      <c r="D121" s="464"/>
      <c r="E121" s="466"/>
      <c r="F121" s="458"/>
      <c r="G121" s="458"/>
      <c r="H121" s="458"/>
      <c r="I121" s="458"/>
      <c r="J121" s="458"/>
      <c r="K121" s="458"/>
      <c r="L121" s="458">
        <v>291</v>
      </c>
      <c r="M121" s="458">
        <f t="shared" si="30"/>
        <v>291</v>
      </c>
      <c r="N121" s="460">
        <v>291</v>
      </c>
      <c r="O121" s="460"/>
      <c r="P121" s="460"/>
      <c r="Q121" s="460"/>
      <c r="R121" s="697">
        <v>291</v>
      </c>
    </row>
    <row r="122" spans="1:18" ht="12.75" customHeight="1">
      <c r="A122" s="472" t="s">
        <v>63</v>
      </c>
      <c r="B122" s="461"/>
      <c r="C122" s="462"/>
      <c r="D122" s="464"/>
      <c r="E122" s="466"/>
      <c r="F122" s="462"/>
      <c r="G122" s="460"/>
      <c r="H122" s="460"/>
      <c r="I122" s="460"/>
      <c r="J122" s="460"/>
      <c r="K122" s="460"/>
      <c r="L122" s="460"/>
      <c r="M122" s="460"/>
      <c r="N122" s="460"/>
      <c r="O122" s="460"/>
      <c r="P122" s="460"/>
      <c r="Q122" s="460"/>
      <c r="R122" s="697"/>
    </row>
    <row r="123" spans="1:18" ht="12.75" customHeight="1">
      <c r="A123" s="472" t="s">
        <v>67</v>
      </c>
      <c r="B123" s="461" t="s">
        <v>14</v>
      </c>
      <c r="C123" s="462">
        <f aca="true" t="shared" si="33" ref="C123:R123">SUM(C124)</f>
        <v>8382</v>
      </c>
      <c r="D123" s="462">
        <f t="shared" si="33"/>
        <v>0</v>
      </c>
      <c r="E123" s="462">
        <f t="shared" si="33"/>
        <v>0</v>
      </c>
      <c r="F123" s="462">
        <f t="shared" si="33"/>
        <v>-8382</v>
      </c>
      <c r="G123" s="462">
        <f t="shared" si="33"/>
        <v>0</v>
      </c>
      <c r="H123" s="462">
        <f t="shared" si="33"/>
        <v>0</v>
      </c>
      <c r="I123" s="462">
        <f t="shared" si="33"/>
        <v>0</v>
      </c>
      <c r="J123" s="462">
        <f t="shared" si="33"/>
        <v>0</v>
      </c>
      <c r="K123" s="462">
        <f t="shared" si="33"/>
        <v>0</v>
      </c>
      <c r="L123" s="462">
        <f t="shared" si="33"/>
        <v>0</v>
      </c>
      <c r="M123" s="462">
        <f t="shared" si="33"/>
        <v>0</v>
      </c>
      <c r="N123" s="462">
        <f t="shared" si="33"/>
        <v>0</v>
      </c>
      <c r="O123" s="462">
        <f t="shared" si="33"/>
        <v>0</v>
      </c>
      <c r="P123" s="462">
        <f t="shared" si="33"/>
        <v>0</v>
      </c>
      <c r="Q123" s="462">
        <f t="shared" si="33"/>
        <v>0</v>
      </c>
      <c r="R123" s="463">
        <f t="shared" si="33"/>
        <v>0</v>
      </c>
    </row>
    <row r="124" spans="1:18" ht="12.75" customHeight="1">
      <c r="A124" s="472" t="s">
        <v>147</v>
      </c>
      <c r="B124" s="457" t="s">
        <v>540</v>
      </c>
      <c r="C124" s="458">
        <v>8382</v>
      </c>
      <c r="D124" s="464"/>
      <c r="E124" s="473"/>
      <c r="F124" s="458">
        <v>-8382</v>
      </c>
      <c r="G124" s="458">
        <f>C124+F124</f>
        <v>0</v>
      </c>
      <c r="H124" s="458"/>
      <c r="I124" s="462">
        <f>G124+H124</f>
        <v>0</v>
      </c>
      <c r="J124" s="462"/>
      <c r="K124" s="462">
        <f>I124+J124</f>
        <v>0</v>
      </c>
      <c r="L124" s="462"/>
      <c r="M124" s="458">
        <f>K124+L124</f>
        <v>0</v>
      </c>
      <c r="N124" s="459"/>
      <c r="O124" s="459"/>
      <c r="P124" s="459"/>
      <c r="Q124" s="459"/>
      <c r="R124" s="697">
        <v>0</v>
      </c>
    </row>
    <row r="125" spans="1:18" ht="12.75" customHeight="1">
      <c r="A125" s="472"/>
      <c r="B125" s="461"/>
      <c r="C125" s="462"/>
      <c r="D125" s="464"/>
      <c r="E125" s="473"/>
      <c r="F125" s="462"/>
      <c r="G125" s="474"/>
      <c r="H125" s="474"/>
      <c r="I125" s="474"/>
      <c r="J125" s="474"/>
      <c r="K125" s="474"/>
      <c r="L125" s="474"/>
      <c r="M125" s="460"/>
      <c r="N125" s="459"/>
      <c r="O125" s="459"/>
      <c r="P125" s="459"/>
      <c r="Q125" s="459"/>
      <c r="R125" s="697"/>
    </row>
    <row r="126" spans="1:18" ht="12.75" customHeight="1" thickBot="1">
      <c r="A126" s="472"/>
      <c r="B126" s="475" t="s">
        <v>15</v>
      </c>
      <c r="C126" s="476">
        <f aca="true" t="shared" si="34" ref="C126:R126">SUM(C6,C104,C123,C83)</f>
        <v>2245365</v>
      </c>
      <c r="D126" s="476">
        <f t="shared" si="34"/>
        <v>2377882</v>
      </c>
      <c r="E126" s="476">
        <f t="shared" si="34"/>
        <v>1095184</v>
      </c>
      <c r="F126" s="476">
        <f t="shared" si="34"/>
        <v>864889</v>
      </c>
      <c r="G126" s="477">
        <f t="shared" si="34"/>
        <v>2842417</v>
      </c>
      <c r="H126" s="477">
        <f t="shared" si="34"/>
        <v>706420</v>
      </c>
      <c r="I126" s="477">
        <f t="shared" si="34"/>
        <v>2600749</v>
      </c>
      <c r="J126" s="477">
        <f t="shared" si="34"/>
        <v>159706</v>
      </c>
      <c r="K126" s="477">
        <f t="shared" si="34"/>
        <v>2014605</v>
      </c>
      <c r="L126" s="477">
        <f t="shared" si="34"/>
        <v>-232494</v>
      </c>
      <c r="M126" s="477">
        <f t="shared" si="34"/>
        <v>1782402</v>
      </c>
      <c r="N126" s="477">
        <f t="shared" si="34"/>
        <v>-87172</v>
      </c>
      <c r="O126" s="477">
        <f t="shared" si="34"/>
        <v>-46352</v>
      </c>
      <c r="P126" s="477">
        <f t="shared" si="34"/>
        <v>-3025</v>
      </c>
      <c r="Q126" s="477">
        <f t="shared" si="34"/>
        <v>0</v>
      </c>
      <c r="R126" s="478">
        <f t="shared" si="34"/>
        <v>1722088</v>
      </c>
    </row>
  </sheetData>
  <sheetProtection/>
  <mergeCells count="2">
    <mergeCell ref="B1:R1"/>
    <mergeCell ref="B2:R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  <headerFooter>
    <oddHeader>&amp;L8. melléklet a 16/2016.(V.26.) önkormányzati rendelethez
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zsombokiandrea</dc:creator>
  <cp:keywords/>
  <dc:description/>
  <cp:lastModifiedBy>zomborimonika</cp:lastModifiedBy>
  <cp:lastPrinted>2016-05-25T12:16:47Z</cp:lastPrinted>
  <dcterms:created xsi:type="dcterms:W3CDTF">2014-01-10T08:24:40Z</dcterms:created>
  <dcterms:modified xsi:type="dcterms:W3CDTF">2016-05-25T12:16:51Z</dcterms:modified>
  <cp:category/>
  <cp:version/>
  <cp:contentType/>
  <cp:contentStatus/>
</cp:coreProperties>
</file>