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11295" windowHeight="6255" firstSheet="10" activeTab="13"/>
  </bookViews>
  <sheets>
    <sheet name="1.sz. melléklet" sheetId="1" r:id="rId1"/>
    <sheet name="1.a. 1.b. melléklet" sheetId="2" r:id="rId2"/>
    <sheet name="2. sz. melléklet" sheetId="3" r:id="rId3"/>
    <sheet name="3.sz. melléklet" sheetId="4" r:id="rId4"/>
    <sheet name="4. sz. melléklet" sheetId="5" r:id="rId5"/>
    <sheet name="5. sz. melléklet" sheetId="6" r:id="rId6"/>
    <sheet name="6. sz. melléklet" sheetId="7" r:id="rId7"/>
    <sheet name="7. sz. melléklet" sheetId="8" r:id="rId8"/>
    <sheet name="8. sz. melléklet" sheetId="9" r:id="rId9"/>
    <sheet name="9. sz. melléklet" sheetId="10" r:id="rId10"/>
    <sheet name="10. sz. melléklet" sheetId="11" r:id="rId11"/>
    <sheet name="10-a.sz. melléklet" sheetId="12" r:id="rId12"/>
    <sheet name="11. sz. melléklet" sheetId="13" r:id="rId13"/>
    <sheet name="12. sz. melléklet" sheetId="14" r:id="rId14"/>
    <sheet name="13. sz. melléklet" sheetId="15" r:id="rId15"/>
    <sheet name="14. sz. melléklet" sheetId="16" r:id="rId16"/>
    <sheet name="15. sz. melléklet" sheetId="17" r:id="rId17"/>
    <sheet name="16.sz. melléklet" sheetId="18" r:id="rId18"/>
    <sheet name="17.a. 17.b. sz. melléklet" sheetId="19" r:id="rId19"/>
    <sheet name="18. sz. melléklet" sheetId="20" r:id="rId20"/>
  </sheets>
  <externalReferences>
    <externalReference r:id="rId23"/>
  </externalReferences>
  <definedNames>
    <definedName name="Excel_BuiltIn__FilterDatabase_5" localSheetId="11">#REF!</definedName>
    <definedName name="Excel_BuiltIn__FilterDatabase_5" localSheetId="15">#REF!</definedName>
    <definedName name="Excel_BuiltIn__FilterDatabase_5" localSheetId="6">#REF!</definedName>
    <definedName name="Excel_BuiltIn__FilterDatabase_5" localSheetId="7">#REF!</definedName>
    <definedName name="Excel_BuiltIn__FilterDatabase_5" localSheetId="9">#REF!</definedName>
    <definedName name="Excel_BuiltIn__FilterDatabase_5">'4. sz. melléklet'!#REF!</definedName>
    <definedName name="Excel_BuiltIn_Print_Area_1" localSheetId="19">'18. sz. melléklet'!$A$1:$G$10</definedName>
    <definedName name="Excel_BuiltIn_Print_Area_1">#REF!</definedName>
    <definedName name="Excel_BuiltIn_Print_Area_2" localSheetId="4">#REF!</definedName>
    <definedName name="Excel_BuiltIn_Print_Area_2">#REF!</definedName>
    <definedName name="_xlnm.Print_Titles" localSheetId="4">'4. sz. melléklet'!$6:$8</definedName>
    <definedName name="_xlnm.Print_Titles" localSheetId="5">'5. sz. melléklet'!$A:$B</definedName>
    <definedName name="_xlnm.Print_Titles" localSheetId="7">'7. sz. melléklet'!$7:$8</definedName>
    <definedName name="_xlnm.Print_Area" localSheetId="11">'10-a.sz. melléklet'!$A$1:$B$130</definedName>
  </definedNames>
  <calcPr fullCalcOnLoad="1"/>
</workbook>
</file>

<file path=xl/sharedStrings.xml><?xml version="1.0" encoding="utf-8"?>
<sst xmlns="http://schemas.openxmlformats.org/spreadsheetml/2006/main" count="1382" uniqueCount="907">
  <si>
    <t>Alapfokú művészetoktatás képzőművészeti ág 2009. évi ktgv.alapján</t>
  </si>
  <si>
    <t>Alapfokú művészetoktatás képzőművészeti ág 8 hónapra</t>
  </si>
  <si>
    <t>Alapfokú művészetoktatás képzőművészeti ág  4 hónapra</t>
  </si>
  <si>
    <t>Óvodai kedvezményes étkeztetés</t>
  </si>
  <si>
    <t>Felhalmozási tartalék</t>
  </si>
  <si>
    <t>Kastély téri útkorszerűsítés</t>
  </si>
  <si>
    <t>Május 1. úti körforgalmi csomópont fejlesztés</t>
  </si>
  <si>
    <t>Somogyi u.  - Bacsó B. u. gyalogátkelőhely kiépítéshez</t>
  </si>
  <si>
    <t>Egyéb feladatokra</t>
  </si>
  <si>
    <t xml:space="preserve"> - THAC Kézilabda szakosztály támogatása</t>
  </si>
  <si>
    <t xml:space="preserve"> - Csillagsziget Bölcsőde új gondozási egységére</t>
  </si>
  <si>
    <t xml:space="preserve"> - Vaszary J. Ált. Isk. és Logopédiai Int. fejlesztés pedagógiai feladataira</t>
  </si>
  <si>
    <t xml:space="preserve"> - Deák F. úton új kistérségi idősek nappali klubjára</t>
  </si>
  <si>
    <t xml:space="preserve"> - Egyéb feladatokra</t>
  </si>
  <si>
    <t>Pénzügyi szoftver beszerzésére</t>
  </si>
  <si>
    <t>Kiegészítő hozzájárulás rendszeres GYEV-ben részesülők  V-VII.évf. ingy.étk.</t>
  </si>
  <si>
    <t>Szervezett kedvezményes étkeztetés iskolában</t>
  </si>
  <si>
    <t>Kiegészítő hozzájárulás rendszeres GYEV-ben részesülő 5-6.évf.tanulók részére</t>
  </si>
  <si>
    <t>Általános iskolai napközis foglalkoztatás 2008. évi ktgv. alapján</t>
  </si>
  <si>
    <t>Általános iskolai napközis foglalkoztatás 2009. évi ktgv.alapján</t>
  </si>
  <si>
    <t xml:space="preserve">Általános iskolai napközis foglalkoztatás </t>
  </si>
  <si>
    <t>Minősített alapfokú művészeti oktatás zeneművészeti ágon 8 hónapra</t>
  </si>
  <si>
    <t>Minősített alapfokú művészeti oktatás képző- és iparművészeti ágon 8 hónapra</t>
  </si>
  <si>
    <t xml:space="preserve">Pedagógiai módszerek támogatása </t>
  </si>
  <si>
    <t>Koltói-Környei u. csapadékvíz elvezetés, V.-VI. dűlő vízelvezető burkolat árok készítés</t>
  </si>
  <si>
    <t>Kossuth tér rehabilitációja 277/2010. (VIII.18.)</t>
  </si>
  <si>
    <t>Kossuth tér rehabilitációja</t>
  </si>
  <si>
    <t>Működési bevétel</t>
  </si>
  <si>
    <t>Helyi adók</t>
  </si>
  <si>
    <t>Működési támogatások</t>
  </si>
  <si>
    <t>Központosított előirányzatokból működésre</t>
  </si>
  <si>
    <t>Helyi önkormányzatok kiegészítő támogatása</t>
  </si>
  <si>
    <t>Egyéb, működési bevételek</t>
  </si>
  <si>
    <t>Működési célú pénzeszközátvétel</t>
  </si>
  <si>
    <t>Felhalmozási és tőke jellegű bevételek</t>
  </si>
  <si>
    <t>Föld értékesítés</t>
  </si>
  <si>
    <t>Üzemeltetés, bérbeadás bevétele</t>
  </si>
  <si>
    <t>Üzletrész értékesítés bevétele</t>
  </si>
  <si>
    <t>Felhalmozási támogatások</t>
  </si>
  <si>
    <t xml:space="preserve"> - Kórháztól Polg. Hiv.-nak</t>
  </si>
  <si>
    <t xml:space="preserve"> - Árpád-házi Szent Erzsébet Szakk. és Rendelőint.-től Polg. Hiv.-nak</t>
  </si>
  <si>
    <t>Finanszírozási műveletek (hitel, kötvény, készfizető kezesség, hitelkamat)</t>
  </si>
  <si>
    <t>Kölcsön visszafizetés az Önkormányzatnak az Kórháztól</t>
  </si>
  <si>
    <t>Önkormányzatok sajátos működési bevételi</t>
  </si>
  <si>
    <t>Intézmények infrastruktúrális fejlesztésére</t>
  </si>
  <si>
    <t xml:space="preserve"> - Árpád-házi Szent Erzsébet Szakk. és Rendelőint.-nek Polg. Hiv.-tól</t>
  </si>
  <si>
    <t>Hiteltörlesztés fejlesztési célú</t>
  </si>
  <si>
    <t>Kölcsön visszafizetés Polgármesteri Hivatalnak</t>
  </si>
  <si>
    <t>2010. évi CLXIX törvény alapján támogatás</t>
  </si>
  <si>
    <t>Átengedett SZJA</t>
  </si>
  <si>
    <t>Földterület bérb. SZJA, talajterhelési díj</t>
  </si>
  <si>
    <t>Önk. által folyósított ellátások</t>
  </si>
  <si>
    <t>Települési igazgatási és kommunális feladatok</t>
  </si>
  <si>
    <t>Nyugdíjminimum 150%-át meg nem haladó jövedelem esetén</t>
  </si>
  <si>
    <t>Nyugdíjminimum 150%-a és 300%-a közötti jövedelem esetén</t>
  </si>
  <si>
    <r>
      <t>Otthonközeli ellátás:</t>
    </r>
    <r>
      <rPr>
        <sz val="9"/>
        <rFont val="Times New Roman CE"/>
        <family val="1"/>
      </rPr>
      <t>szociális étkeztetést és az időskorúak nappali ellátását együttesen biztosítják (Fajlagos összeg 65%-a)</t>
    </r>
  </si>
  <si>
    <t>Ingyenes bölcsődei étkeztetés</t>
  </si>
  <si>
    <t>Alapfokú művészetoktatás, zeneművészeti ág  4 hónapra</t>
  </si>
  <si>
    <t xml:space="preserve">SZJA átengedett 8 %     </t>
  </si>
  <si>
    <t>3. Lakossági lakás felújítási kölcsönök elengedésének várható összege:</t>
  </si>
  <si>
    <t>Rákóczi út 9. homlokzat felújítása</t>
  </si>
  <si>
    <t xml:space="preserve">Május 1. Út körforgalmi csomópont feladatra az útpénztárnak </t>
  </si>
  <si>
    <t>Támogatásértékű felhalmozási célú bevétel</t>
  </si>
  <si>
    <t>Pénzmaradványból Angolpark rehabilitációja elkülönített számláról</t>
  </si>
  <si>
    <t>Fejlesztési célú támogatások (címzett, cél, vis maior)</t>
  </si>
  <si>
    <t>Egyéb felhalmozási bevételek</t>
  </si>
  <si>
    <t xml:space="preserve"> - Támogatás értékű felhalmozási bevételek</t>
  </si>
  <si>
    <t xml:space="preserve"> - Felhalmozási célú pénzeszköz átvétel</t>
  </si>
  <si>
    <t>Normatív hozzájárulások</t>
  </si>
  <si>
    <t>Normatív kötött felhasználású támogatások</t>
  </si>
  <si>
    <t>Talajterhelési díj</t>
  </si>
  <si>
    <t>Bérleti díjak</t>
  </si>
  <si>
    <t>Lakbér</t>
  </si>
  <si>
    <t xml:space="preserve"> - Kiegészítő támogatás egyes közoktatási feladatokhoz</t>
  </si>
  <si>
    <t>Okmányirodai ügyintézés</t>
  </si>
  <si>
    <t>Áfa bevétel</t>
  </si>
  <si>
    <t>Bírságok</t>
  </si>
  <si>
    <t>Átengedett központi adók (gépjárműadó, átengedett SZJA, termőföld bérbeadásából származó SZJA)</t>
  </si>
  <si>
    <t>Dologi és egyéb folyó kiadások</t>
  </si>
  <si>
    <t>Egyéb működési kiadások</t>
  </si>
  <si>
    <t>Önkormányzat által folyósított társadalom- és szociálpolitikai juttatások</t>
  </si>
  <si>
    <t>Beruházási kiadások</t>
  </si>
  <si>
    <t>Felújítási kiadások</t>
  </si>
  <si>
    <t>Kamat kiadások</t>
  </si>
  <si>
    <t>Könyvtárak közti együttműködési és IKT intrastrukturális fejlesztés a közoktatás támogatását és egyéb oktatási formák kiegészítését segítő, esélykiegyenlítő, helytől független hozzáférést is lehetővé tevő szolgáltatásokért - Tudádepó Expressz TIOP-1.2.3-09/1-2009-0008 MÓRICZ ZSIGMOND VÁROSI KÖNYVTÁR</t>
  </si>
  <si>
    <t>TUDÁSDEPÓ EXPRESSZ A Könyvtári hálózat nem formális és informális képzési szerepének erősítése az élethosstig tartó tanulás érdekében- Könyvtárhasználók igényeinek hatékonyabb kielégítését szolgáló fejlesztés TÁMOP-3.2.4-08/1-2009-0047 MÓRICZ ZSIGMOND VÁROSI KÖNYVTÁR</t>
  </si>
  <si>
    <t>Támogatás értékű felhalmozási kiadások és felhalmozási célú pénzeszközátadások</t>
  </si>
  <si>
    <t>Lakáscélra</t>
  </si>
  <si>
    <t>Kölcsön visszafizetés az Önkormányzatnak az IGH-tól</t>
  </si>
  <si>
    <t>Működési tartalék</t>
  </si>
  <si>
    <t>Céltartalék</t>
  </si>
  <si>
    <t xml:space="preserve"> -minősített alapfokú művészeti oktatás zeneművészeti ágon</t>
  </si>
  <si>
    <t xml:space="preserve"> -minősített alapfokú művészeti oktatás képző-és iparművészeti ág</t>
  </si>
  <si>
    <t>Általános hozzájárulás a tanulók tankönyvellátásához</t>
  </si>
  <si>
    <t>Ingyenes tankönyv</t>
  </si>
  <si>
    <t>Nemzetiségi nyelvű, két tanítási nyelvű oktatás, nyelvi előkészítő oktatás</t>
  </si>
  <si>
    <t>Szakmai, informatikai, fejlesztési feladatok támogatása</t>
  </si>
  <si>
    <t>Közoktatási normatíva összesen</t>
  </si>
  <si>
    <t>Normatív támogatások összesen</t>
  </si>
  <si>
    <t>Óvoda ped.továbbképzés és szakvizsga</t>
  </si>
  <si>
    <t>Iskolák ped. továbbképzés és szakvizsga</t>
  </si>
  <si>
    <t>Pedagógiai szakszolgálat (Vaszary)</t>
  </si>
  <si>
    <t>Diáksporttal kapcsolatos feladatok</t>
  </si>
  <si>
    <t xml:space="preserve"> Szociális továbbképzés és szakvizsga</t>
  </si>
  <si>
    <t>Osztályfőnöki pótlék kiegészítése</t>
  </si>
  <si>
    <t>Gyógypedagógiai pótlék kiegészítése</t>
  </si>
  <si>
    <t>Normatív kötött támogatások összesen</t>
  </si>
  <si>
    <t>Normatív+kötött támogatások összesen</t>
  </si>
  <si>
    <t>ÁLLAMI TÁMOGATÁS ÉS SZJA MINDÖSSZESEN</t>
  </si>
  <si>
    <t>Egyéb kölcsön</t>
  </si>
  <si>
    <t xml:space="preserve"> - Távhő ÖKO program</t>
  </si>
  <si>
    <t xml:space="preserve"> - Távhő ÁFA miatt</t>
  </si>
  <si>
    <t>Garancia és kezességvállalás</t>
  </si>
  <si>
    <t>Felhasználási javaslat  összege a 2011. évi költségvetésben:</t>
  </si>
  <si>
    <t>Beruházási feladatok 2011.évi:</t>
  </si>
  <si>
    <t>Jázmin u. 22-24. ingatlan vételár II. részlet</t>
  </si>
  <si>
    <t>ÁROP-1.A.2 Hivatal szervezetfejlesztése</t>
  </si>
  <si>
    <t>Angolpark rehabilitációja KDOP-2.1.1/B-2f-2009-0002</t>
  </si>
  <si>
    <t>Kocsi u. - Dózsa Gy. u. kerékpárút kerékpárút 315-316./2010. (IX.22.), 348/2010.(X.27)</t>
  </si>
  <si>
    <t>Gondoskodó kistérség pályázat KDOP-2009-5.2.2/A 116/2010. (IV.28.)</t>
  </si>
  <si>
    <t>Új úti Bölcsőde kapacitásbővítése és minőségi fejlesztése KDOP-5.2.2/B-09-2009-0004, 115/2010. (IV.28.)</t>
  </si>
  <si>
    <t>Szemere u. és Aradi u. csapadékvíz elvezetés tervezés</t>
  </si>
  <si>
    <t>V. dűlő szikkasztó árok készítés</t>
  </si>
  <si>
    <t>Kocsi u. 4. ingatlan vételárrész 8/2hrsz</t>
  </si>
  <si>
    <t>Bacsó B. u. 66. HM ingatlanban önálló ivóvíz fogyasztásmérő felszerelése</t>
  </si>
  <si>
    <t>Fazekas u. 9-10-11 előtti parkolók építése</t>
  </si>
  <si>
    <t>2011. évi igények</t>
  </si>
  <si>
    <t>Új hiteles, digitális alaptérkép</t>
  </si>
  <si>
    <t>Tata-Kártya programmal kapcsolatos költségek</t>
  </si>
  <si>
    <t>Tatai Kistérségi Idősek Otthona TIOP pályázat önerőre 243/2008.(VIII.28.)</t>
  </si>
  <si>
    <t>Nagy L. u. - Tavasz u. vízelvezetés</t>
  </si>
  <si>
    <t>Piac téri útkorszerűsítés önkormányzati rész</t>
  </si>
  <si>
    <t>Kastélykertben található támfal (1850/9 hrsz.) helyreállítás</t>
  </si>
  <si>
    <t>Kisajátítások, kártalanítások</t>
  </si>
  <si>
    <t xml:space="preserve"> - Agostyáni u.</t>
  </si>
  <si>
    <t xml:space="preserve"> - Újhegy városrész szabályozási terv szerint</t>
  </si>
  <si>
    <t>Fényes fasori Idősek Otthona bővítés</t>
  </si>
  <si>
    <t>Számítástechnikai eszközbeszerzés (hardver, szoftver, hálózatbővítés)</t>
  </si>
  <si>
    <t>Fényes fürdőn Katonai medence rendbetétele</t>
  </si>
  <si>
    <t>Művelődési ház homlokzat felújítás</t>
  </si>
  <si>
    <t>Talentum iskola szennyvízvezeték</t>
  </si>
  <si>
    <t>Balatonvilágosi üdülő nyílászáró csere</t>
  </si>
  <si>
    <t>Kocsi u.-i temetőben ravatalozó felújítás</t>
  </si>
  <si>
    <t>Környei u.-i temetőben ravatalozó előtér felújítás</t>
  </si>
  <si>
    <t>Tervezések útburkolat felújításhoz és városrész rehabilitációhoz</t>
  </si>
  <si>
    <t>Bérlakások felújítása</t>
  </si>
  <si>
    <t>Nem lakás célú helységek felújítása</t>
  </si>
  <si>
    <t>Rákóczi u. 9. homlokzat felújítása</t>
  </si>
  <si>
    <t>Áthúzódó, kötelezettségvállalással terhelt feladatok</t>
  </si>
  <si>
    <t>Áthúzódó, kötelezettségvállalással terhelt feladatok kötvényforrás terhére</t>
  </si>
  <si>
    <t>2011. évi igények kötvényforrás terhére</t>
  </si>
  <si>
    <t>Kocsi u. - Dózsa Gy. u. kerékpárút 315-316./2010. (IX.22.), 348/2010.(X.27)</t>
  </si>
  <si>
    <t>Működési célú pénzeszközátadások és támogatások:</t>
  </si>
  <si>
    <t>Felhalmozási célú pénzeszközátadások és támogatások kötvényforrás terhére:</t>
  </si>
  <si>
    <t>Európai uniós támogatással megvalósuló projektek tervezett bevételei, kiadásai (E Ft-ban)</t>
  </si>
  <si>
    <t>Tata Város Önkormányzat projektjei</t>
  </si>
  <si>
    <t>EU-s projekt neve, azonosítója:</t>
  </si>
  <si>
    <t>A tatai Angolpark rehabilitációja, KDOP-2007-2.1.1./B</t>
  </si>
  <si>
    <t>Támogatási szerződés kötés időpontja:</t>
  </si>
  <si>
    <t>Megvalósítás tervezett ideje:</t>
  </si>
  <si>
    <t>2009-2012</t>
  </si>
  <si>
    <t>Források</t>
  </si>
  <si>
    <t>Saját erő, az el nem számolható költségekkel együtt:</t>
  </si>
  <si>
    <t xml:space="preserve"> - saját erőből központi támogatás</t>
  </si>
  <si>
    <t>-</t>
  </si>
  <si>
    <t>Eu-s forrás a benyújtott pályázat szerint:</t>
  </si>
  <si>
    <t>Bartók B. u.-i Óvoda Újjáépítése, KDOP 5.1.1.</t>
  </si>
  <si>
    <t>2008-2010, a projekt zárása folyamatban</t>
  </si>
  <si>
    <t>Intézmények energiaracionalizálása, KEOP-5.1.0-2008-0037</t>
  </si>
  <si>
    <t>2009-2010, a projekt zárása folyamatban</t>
  </si>
  <si>
    <t>Tatai Polgármesteri Hivatal szervezetfejlesztése ÁROP-1.A.2/A-2008-0087</t>
  </si>
  <si>
    <t>2009. február 20.</t>
  </si>
  <si>
    <t>2009-2011</t>
  </si>
  <si>
    <t>Kocsi u.-Dózsa Gy. u. kerékpárút építés KDOP 4.2.2-09</t>
  </si>
  <si>
    <t>Támogatási szerződés kötés várható időpontja:</t>
  </si>
  <si>
    <t>2010. május 4.</t>
  </si>
  <si>
    <t>Fáklya u. - Diófa u. korszerűsítése KDOP-4.2.1/B-09</t>
  </si>
  <si>
    <t>2010. május 17.</t>
  </si>
  <si>
    <t>2011, a 2011-es költségvetésben a projekt nincsen tervezve, várhatóan szerződésbontásra kerül sor</t>
  </si>
  <si>
    <t>Saját erő:</t>
  </si>
  <si>
    <t>Kossuth tér rehabilitációja KDOP-3.1.1/A</t>
  </si>
  <si>
    <t>Nyertes pályázat, szerződés megkötése folyamatban</t>
  </si>
  <si>
    <t>2011-2013</t>
  </si>
  <si>
    <t>Új u.-i Bölcsöde, férőhely bővítés KDOP-2009.5.2.2/B</t>
  </si>
  <si>
    <t>2010. augusztus 3.</t>
  </si>
  <si>
    <t>Gondoskodó kistérség, szociális alapellátások minőségi fejlesztése KDOP-2009-5.2.2/A</t>
  </si>
  <si>
    <t>2010. augusztus 5.</t>
  </si>
  <si>
    <t>2010-2011</t>
  </si>
  <si>
    <t xml:space="preserve">Által-ér völgyi kerékpárút KÖZOP – 2008-3.2.2 </t>
  </si>
  <si>
    <t>Folyamatban</t>
  </si>
  <si>
    <t>2011-2012</t>
  </si>
  <si>
    <t>2009. december 4.</t>
  </si>
  <si>
    <t>Szabad utat a tehetségnek TÁMOP 3.4.3-08/2-2009-0140 (KŐKÚTI ÁLTALÁNOS ISKOLA ÉS VASZARY JÁNOS ÁLTALÁNOS ISKOLA KONZORCIUM)</t>
  </si>
  <si>
    <t>2010. június 9.</t>
  </si>
  <si>
    <t>2011. július 31.</t>
  </si>
  <si>
    <t>2010. február 5.</t>
  </si>
  <si>
    <t>2012. február 28.</t>
  </si>
  <si>
    <t>Önkormányzaton kívüli Eu-s projektekhez való hozzájárulás</t>
  </si>
  <si>
    <t>A hozzájárulás címzettje:</t>
  </si>
  <si>
    <t>Tatai Kistérségi Többcélú Társulásnak</t>
  </si>
  <si>
    <t>A projekt megnevezése:</t>
  </si>
  <si>
    <t>Összefogás az energiahatékonyság jegyében a tatai kistérségben</t>
  </si>
  <si>
    <t>A hozzájárulás összege:</t>
  </si>
  <si>
    <t>Idősek otthona felújítása</t>
  </si>
  <si>
    <t>Több éves kihatással járó beruházási és felújítási feladatok (E Ft)</t>
  </si>
  <si>
    <t>Feladat megnevezése</t>
  </si>
  <si>
    <t>Várható befejezés</t>
  </si>
  <si>
    <t>Bekerülési költség</t>
  </si>
  <si>
    <t>Előző években kifizetett összeg</t>
  </si>
  <si>
    <t>2011. évre tervezett kifizetés összege</t>
  </si>
  <si>
    <t>Angolpark rehabilitációja</t>
  </si>
  <si>
    <t>Kocsi u. - Dósza Gy. u. kerékpárút</t>
  </si>
  <si>
    <t>Új u-i Bölcsőde kapacitásbővítés</t>
  </si>
  <si>
    <t>Gondoskodó kistérség, szociális alapellátások fejlesztése</t>
  </si>
  <si>
    <t>Jázmin u. 22-24 ingatlanok vásárlása</t>
  </si>
  <si>
    <t>Hivatal szervezetfejlesztése ÁROP, pénzügyi program beszerzése</t>
  </si>
  <si>
    <t>Kocsi u. 4. ingatlan vételár</t>
  </si>
  <si>
    <t>Fényes-fürdő területén épületek felújítása</t>
  </si>
  <si>
    <t>Vaszary Villa állagmegóvó munkái</t>
  </si>
  <si>
    <t>Panel Programra 231/2008 (VIII. 28.), 246/2009 (IX.30.), 498/2009 (XII.22.)</t>
  </si>
  <si>
    <t>Kertváros Óvoda - Központi fűtés</t>
  </si>
  <si>
    <t>Csillagsziget Bölcsőde - vizesblokk felújítás III. ütem</t>
  </si>
  <si>
    <t>Kőkúti Általános Iskola - mellékhelységek felújítása</t>
  </si>
  <si>
    <t>Tatai Városgazda Nonprofit Kft.-nek bérre és működésre</t>
  </si>
  <si>
    <t>Tatai Városkapu Nonprofit Zrt. támogatása közhasznú megállapodás alapján</t>
  </si>
  <si>
    <t>Tatai Televízió Közalapítvány támogatása</t>
  </si>
  <si>
    <t>TDM szervezet működtetésére 270/2009. (VIII.12.)</t>
  </si>
  <si>
    <t>Juniorka alapítványi Óvoda támogatása a közoktatási megállapodás alapján</t>
  </si>
  <si>
    <t>Juniorka alapítványi Bölcsőde támogatása a közoktatási megállapodás alapján</t>
  </si>
  <si>
    <t>Bursa Hungarica és Mecénás Közalapítvány támogatása</t>
  </si>
  <si>
    <t>Kenderke Néptánc Egyesület</t>
  </si>
  <si>
    <t>Concerto Nonprofit Kft. támogatása</t>
  </si>
  <si>
    <t>Környezetvédelmi alap</t>
  </si>
  <si>
    <t>Tata Ifjúsági kártya 417/2010. (XII.15.)</t>
  </si>
  <si>
    <t>Tata-kártya program keretében családtámogatási rendszer</t>
  </si>
  <si>
    <t>Kőkúti Sasok Diáksport Egyesület támogatása</t>
  </si>
  <si>
    <t>Magyar Máltai Szeretetszolgálat Tatai Csoportjának</t>
  </si>
  <si>
    <t>Magyar Vöröskereszt Tatai Szervezetének</t>
  </si>
  <si>
    <t>Tanuló bérletekre</t>
  </si>
  <si>
    <t xml:space="preserve"> - Tatai Városfejlesztő Kft-nek</t>
  </si>
  <si>
    <t xml:space="preserve"> - Tatai Városfejlesztő Kft.-nek</t>
  </si>
  <si>
    <t xml:space="preserve"> - Tatai Városfejlesztő Kft-től</t>
  </si>
  <si>
    <t>Zárolt</t>
  </si>
  <si>
    <t>Felhalmozási célú pénzeszközátadások és támogatások</t>
  </si>
  <si>
    <t>Háziorvosok támogatása (250 EFt / 21praxis)</t>
  </si>
  <si>
    <t>HU-SK 08/01-0188 projekt támogatás visszafizetés</t>
  </si>
  <si>
    <t>Által-ér Völgyi kerékpárút KÖZOP-2008-3.2. 216./2010. (VI.30.)</t>
  </si>
  <si>
    <t>Által-ér Völgyi kerékpárút</t>
  </si>
  <si>
    <t>Vaszary J. Általános Iskola - tornaterem tetőcsere</t>
  </si>
  <si>
    <t>Mindszenty téri lakásokban kazán csere (32db) és kéménybélés</t>
  </si>
  <si>
    <t>Közvetett támogatások 2011. évi várható összege (E Ft)</t>
  </si>
  <si>
    <t>A számítások alapja a 2010. évben igénybevett közvetett támogatás összege</t>
  </si>
  <si>
    <t>1) Építményadó</t>
  </si>
  <si>
    <t>II. Adókedvezmény:</t>
  </si>
  <si>
    <t>Építményadó</t>
  </si>
  <si>
    <t>Adóelengedés /az előírt adó méltányossági kérelem alapján elengedésre került/</t>
  </si>
  <si>
    <t>Részletfizetési kedvezmény (2010. évről 2011. évre áthúzódó):</t>
  </si>
  <si>
    <t xml:space="preserve"> - késedelmi pótlék, bírság</t>
  </si>
  <si>
    <t>Fizetési halasztás (2010. évről 2011. évre áthúzódó):</t>
  </si>
  <si>
    <t>Szoftver állomány bővítés</t>
  </si>
  <si>
    <t>Szakrendelő lépcsőfordulóinak felújítása, nővér szoba kettéosztása</t>
  </si>
  <si>
    <t>Polgármesteri hivatal épületébe kézi irattár</t>
  </si>
  <si>
    <t>Kincseskert Óvoda</t>
  </si>
  <si>
    <t>Csillagsziget Bölcsőde</t>
  </si>
  <si>
    <t>Szociális Alapellátó Intézmény</t>
  </si>
  <si>
    <t>Hosszabb időtartamú közfogalalkoztatás</t>
  </si>
  <si>
    <t>Rövid időtartamú közfoglalkoztatás</t>
  </si>
  <si>
    <t xml:space="preserve">THAC-nak </t>
  </si>
  <si>
    <t>Polgárőrségnek</t>
  </si>
  <si>
    <t>Tata Város Önkormányzattól tatai Kisebbségi Önkormányzatoknak</t>
  </si>
  <si>
    <t>Tatai Távhő Kft.-nek rendkívüli karbantartási munkákra 405/2010 (XII.15.)</t>
  </si>
  <si>
    <t>Hódy Sport Egyesületnek</t>
  </si>
  <si>
    <t>Vívó SE</t>
  </si>
  <si>
    <t>Tatai Sport Egyesületnek</t>
  </si>
  <si>
    <t>Vissza nem térítendő kamatmentes támogatás</t>
  </si>
  <si>
    <t>Értékvédelmi alap 355/2010. (XI.24.)</t>
  </si>
  <si>
    <t>Összefogás az energiahatékonyság jegyében a tatai kistérségben pályázat önereje</t>
  </si>
  <si>
    <t>Május 1. u. körforgalmi csomópont feladatra az Útpénztárnak</t>
  </si>
  <si>
    <t>Vértes Volán Zrt.-nek 353/2010 (XI.24.)</t>
  </si>
  <si>
    <t>Panel Programra 231/2008 (VIII.28.), 346/2009 (IX.30.), 498/2009 (XII.22.)</t>
  </si>
  <si>
    <t>Öko programra 230/2008 (VIII.28.), 143/2009 (V.27.), 109/2010 (XII.15.)</t>
  </si>
  <si>
    <t>NEP pályázatra 14/2008 (III.28.)</t>
  </si>
  <si>
    <t>ZBR pályázatra</t>
  </si>
  <si>
    <t xml:space="preserve"> - Egyéb kisajátítási eljárások (József A. u., Ady E. u., Akácfa u., Kert u.)</t>
  </si>
  <si>
    <t>Tatai Kistérségi Idősek Otthona TIOP pályázat önerőre</t>
  </si>
  <si>
    <t>1/b. melléklet a 2/2011.(II.25.) önkormányzati rendelethez</t>
  </si>
  <si>
    <t>1/a. melléklet a 2/2011.(II.25.) önkormányzati rendelethez</t>
  </si>
  <si>
    <t xml:space="preserve"> 4. melléklet a 2/2011.(II.25.) önkormányzati rendelethez</t>
  </si>
  <si>
    <t>17/b. melléklet a 2/2011.(II.25.) önkormányzati rendelethez</t>
  </si>
  <si>
    <t>17/a. melléklet a 2/2011.(II.25.) önkormányzati rendelethez</t>
  </si>
  <si>
    <t>Közlekedésbiztonsági tervezések pályázathoz az Útpénztárnak</t>
  </si>
  <si>
    <t>Közlekedésbiztonsági kis költségű beavatkozások pályázathoz az Útpénztárnak</t>
  </si>
  <si>
    <t xml:space="preserve"> - Belső forrás, pénzmaradvány kötvényből a kötvénnyel kapcsolatos kiadásokra </t>
  </si>
  <si>
    <t>Keszthelyi u. 10. THK részére bankgaranciából</t>
  </si>
  <si>
    <t>Tatai Városgazda Nonprofit Kft.-nek telephely kialakításnak befejezésére 402/2010 (XII.15.)</t>
  </si>
  <si>
    <t>Polgárdi Önkormányzatnak</t>
  </si>
  <si>
    <t>Tatai Távhőnek a rendszer biztonságos működésével kapcsolatos felújításokra</t>
  </si>
  <si>
    <t>Munkaügyi Központtól közfoglalkoztatásra</t>
  </si>
  <si>
    <t>Tatai Kistérségi Többcélú Társulástól</t>
  </si>
  <si>
    <t>Támogatószolgálat</t>
  </si>
  <si>
    <t>Közösségi ellátás</t>
  </si>
  <si>
    <t>Tardos Önkormányzattól általános iskola működésére</t>
  </si>
  <si>
    <t>Kisebbségi Önkormányzatok általános támogatása</t>
  </si>
  <si>
    <t>Kisebbségi elektor választásra</t>
  </si>
  <si>
    <t>Tata Város Önkormányzattól tatai Kisebbségi Önkormányzatok támogatása</t>
  </si>
  <si>
    <t>Intézmények energiaracionalizálása KEOP-5.1.0-2008-0037</t>
  </si>
  <si>
    <t>Kocsi u. - Dózsa Gy. u. kerékpárút pályázat KDOP-4.2.2-09-2009-0003</t>
  </si>
  <si>
    <t>Gondoskodó Kistérség KDOP-5.2.2/A-09-2009-0006</t>
  </si>
  <si>
    <t>Új u.-i Bölcsőde bővítése projekt KDOP-5.2.2/B-09-2009-0004</t>
  </si>
  <si>
    <t>Működési célra átvett pénzeszközök államháztartáson kívülről</t>
  </si>
  <si>
    <t>A Tata Város Önkormányzat és az irányítása alatt álló költségvetési szervek</t>
  </si>
  <si>
    <t>2011. évi bevételeinek és kiadásainak várható alakulása</t>
  </si>
  <si>
    <t>Előirányzat felhasználási és likvid terv</t>
  </si>
  <si>
    <t>I.</t>
  </si>
  <si>
    <t>II.</t>
  </si>
  <si>
    <t>III.</t>
  </si>
  <si>
    <t>IV.</t>
  </si>
  <si>
    <t>V.</t>
  </si>
  <si>
    <t>VI.</t>
  </si>
  <si>
    <t>VII.</t>
  </si>
  <si>
    <t xml:space="preserve">VIII. </t>
  </si>
  <si>
    <t>IX.</t>
  </si>
  <si>
    <t>X.</t>
  </si>
  <si>
    <t>XI.</t>
  </si>
  <si>
    <t>XII.</t>
  </si>
  <si>
    <t>Nyitó pénzkészlet</t>
  </si>
  <si>
    <t>Intézményi működési bevételek</t>
  </si>
  <si>
    <t xml:space="preserve">Gépjárműadó </t>
  </si>
  <si>
    <t>Egyéb sajátos bevételek (bérleti díj, lakbér)</t>
  </si>
  <si>
    <t>Ingatlan értékesítés bevétele</t>
  </si>
  <si>
    <t>Felhalmozási célú bevétel bérbeadásból</t>
  </si>
  <si>
    <t>Normatív állami hozzájárulás</t>
  </si>
  <si>
    <t>Egyéb támogatások szoc. ellátásokhoz</t>
  </si>
  <si>
    <t>Eü. Működésre átvett pénzeszköz</t>
  </si>
  <si>
    <t>Támogatás értékű bevételek, átvett pénzeszközök felhalmozási célra</t>
  </si>
  <si>
    <t xml:space="preserve">Támogatás értékű bevételek és átvett pénzeszközök működésre </t>
  </si>
  <si>
    <t>Üzletrész értékesítés</t>
  </si>
  <si>
    <t>Kamat</t>
  </si>
  <si>
    <t xml:space="preserve">Kölcsön visszatérülés, kölcsön igény bevétele </t>
  </si>
  <si>
    <t>Kötvény kibocsátás, hitelfelvétel</t>
  </si>
  <si>
    <t>Bevételek összesen:</t>
  </si>
  <si>
    <t>Likvid hitel</t>
  </si>
  <si>
    <t>Bevétel hitellel</t>
  </si>
  <si>
    <t>Kiadások:</t>
  </si>
  <si>
    <t>Munkaadót terhelő járulék</t>
  </si>
  <si>
    <t>Ellátottak pénzbeli juttatásai</t>
  </si>
  <si>
    <t>Beruházások</t>
  </si>
  <si>
    <t>Felújítások</t>
  </si>
  <si>
    <t>Hiteltörlesztés</t>
  </si>
  <si>
    <t>Tartalék</t>
  </si>
  <si>
    <t>Kölcsönnyújtás, kölcsön visszafizetés</t>
  </si>
  <si>
    <t>Hitelkamat</t>
  </si>
  <si>
    <t xml:space="preserve">Garancia és kezességvállalás </t>
  </si>
  <si>
    <t>Kiadások összesen:</t>
  </si>
  <si>
    <t>Likvid hitel törlesztés</t>
  </si>
  <si>
    <t>Kiadás hiteltörlesztéssel</t>
  </si>
  <si>
    <t>Záró pénzkészlet</t>
  </si>
  <si>
    <t>Támogatások, pénzeszköz átadások (működési és felhalmozási célra)</t>
  </si>
  <si>
    <t>Sportfesztiválok Tatán, a Wesselényi Alaptól SPO-SE-10</t>
  </si>
  <si>
    <t>2010. évi "Rend és iskola" konferencia pályázati támogatása</t>
  </si>
  <si>
    <t>HU-SK 09/01-0074 pályázat</t>
  </si>
  <si>
    <t>HU-SK 08/01-0188</t>
  </si>
  <si>
    <t>Felhalmozási célra átvett pénzeszközök államháztartáson kívülről</t>
  </si>
  <si>
    <t>Befejezett viziközmű társulatoktól átvett</t>
  </si>
  <si>
    <t>Keszthelyi u. 10. THK garanciális felújításaira</t>
  </si>
  <si>
    <t>1510-es emlékmű pályázati támogatása Képző- és Iparművészeti Lektorátustól</t>
  </si>
  <si>
    <t xml:space="preserve"> Tata Város Önkormányzatának 2011. évi pénzforgalmi mérlege (E Ft-ban)</t>
  </si>
  <si>
    <t>Tata Város Polgármesteri Hivatal pénzeszközátadásainak és támogatásainak 2011. évi előirányzata (E Ft-ban)</t>
  </si>
  <si>
    <t>Pénzmaradványból Gondoskodó kistérség elkülönített számláról</t>
  </si>
  <si>
    <t>Pénzmaradványból Új u.-i Bölcsőde bővítése elkülönített számláról</t>
  </si>
  <si>
    <t>ADÓSSÁGSZOLGÁLAT 2011 - 2031-ig a kötvénykibocsátást és a hitelvisszafizetéseket figyelembe véve</t>
  </si>
  <si>
    <t>Agostyáni Víziközmű</t>
  </si>
  <si>
    <t>Tóparti Víziközmű</t>
  </si>
  <si>
    <t>Víziközmű hitelek (1 havi bubor + 0,6 % +6 + 0,6 x 65 %)</t>
  </si>
  <si>
    <t>Tata Város Önkormányzat hitel- és kötvényállomány 2011. január 1-jén (E Ft-ban)</t>
  </si>
  <si>
    <t xml:space="preserve">2011. évi törlesztő részlet       </t>
  </si>
  <si>
    <t>2011. évi fejlesztési célú bevételek és kiadások mérlege (E Ft-ban)</t>
  </si>
  <si>
    <t>2011. évi működési célú bevételek és kiadások mérlege (E Ft-ban)</t>
  </si>
  <si>
    <t>Tata Város Önkormányzatának 2011. évi bevételei forrásonként ( E Ft-ban)</t>
  </si>
  <si>
    <t xml:space="preserve">Tata Város Önkormányzatának 2011. évi költségvetési kiadásai </t>
  </si>
  <si>
    <t>2011. évi felújítási kiadások célonként (ÁFA-val)</t>
  </si>
  <si>
    <t>2011. évi beruházási kiadások feladatonként (ÁFA-val)</t>
  </si>
  <si>
    <t>Egészségügyi intézmények támogatása</t>
  </si>
  <si>
    <t>Közép-dunántúli Regionális Mentőszervezet támogatása</t>
  </si>
  <si>
    <t>Tata Város Önkormányzata által folyósított 2011. évi ellátások alakulásának részletezése</t>
  </si>
  <si>
    <t>Oktatási és kulturális alap</t>
  </si>
  <si>
    <t>Egészségvédelmi és sport alap</t>
  </si>
  <si>
    <t>2011. évi alakulása (E Ft-ban)</t>
  </si>
  <si>
    <t>2011. év</t>
  </si>
  <si>
    <t>2011.évi költségvetése (E Ft)</t>
  </si>
  <si>
    <t>Tanulóbérlet</t>
  </si>
  <si>
    <t>Támogatásértékű felhalmozási célú bevételek:</t>
  </si>
  <si>
    <t xml:space="preserve"> </t>
  </si>
  <si>
    <t>Fazekas u. 9-10-11 parkolók</t>
  </si>
  <si>
    <t>Hiány és a finanszírozási kiadások fedezetének finanszírozása:</t>
  </si>
  <si>
    <t>Hiány és a finanszírozási kiadások fedezetének finansz.</t>
  </si>
  <si>
    <t>Finanszírozási bevételek összesen:</t>
  </si>
  <si>
    <t>Kötvénykibocsátásból tervezett kiadások</t>
  </si>
  <si>
    <t xml:space="preserve">   Szociális Alapellátó Intézmény 15 fő</t>
  </si>
  <si>
    <t>Megbízási szerződés szerint fizetendő díj (Budapest Priv-Invest Kft-nek)</t>
  </si>
  <si>
    <t>Kötvény után fizetendő kamat</t>
  </si>
  <si>
    <t xml:space="preserve"> - Belső forrás, pénzmaradvány </t>
  </si>
  <si>
    <t xml:space="preserve">Több éves kihatással járó feladatok </t>
  </si>
  <si>
    <t xml:space="preserve">Diófa út korszerűsítése </t>
  </si>
  <si>
    <t>Diófa út korszerűsítése</t>
  </si>
  <si>
    <t>Kis- és középvállalkozások támogatása</t>
  </si>
  <si>
    <t xml:space="preserve"> - Belső finanszírozás, pénzmaradvány </t>
  </si>
  <si>
    <t xml:space="preserve"> - Külső finanszírozás kötvény kibocsátás, hitel felvétel </t>
  </si>
  <si>
    <t xml:space="preserve"> - Belső finanszírozás, pénzmaradvány</t>
  </si>
  <si>
    <t>ÉDV Zrt-nek üzemeltetésre átadott ivó- és szennyvízcsatorna közmű felújítása a 2010 évi amortizáció terhére</t>
  </si>
  <si>
    <t>Szerződő bank, illetve egyéb int.</t>
  </si>
  <si>
    <t>Hitelfelvétel</t>
  </si>
  <si>
    <t>Lejárat éve</t>
  </si>
  <si>
    <t>éve</t>
  </si>
  <si>
    <t xml:space="preserve">összege         </t>
  </si>
  <si>
    <t>Agostyáni Víziközmű Társulat (2007-ig 70 %, 2007-2012-ig 35 % kamattámogatott)</t>
  </si>
  <si>
    <t>MTB. Zrt.</t>
  </si>
  <si>
    <t>Tata Tóparti Víziközmű Társulat (kezesség vállalás alapján)            (2009-ig 70 %-ig, 2014-ig 35 % kamattámogatott</t>
  </si>
  <si>
    <t>Fejlesztési hitel kisbusz vásárlásához</t>
  </si>
  <si>
    <t>Bp. Autófin. Zrt.</t>
  </si>
  <si>
    <t>Hosszú lejáratú fejlesztési hitel (felhalmozási hiány fedezetére)</t>
  </si>
  <si>
    <t>Mindszenty téri lakásokban kazáncsere (32 db) és kéménybélés</t>
  </si>
  <si>
    <t>Önkormányzati kötvény összesen</t>
  </si>
  <si>
    <t xml:space="preserve">Polgármesteri Hivatal </t>
  </si>
  <si>
    <t>Felhalmozási hitelek</t>
  </si>
  <si>
    <t xml:space="preserve">törlesztés </t>
  </si>
  <si>
    <t>kamat</t>
  </si>
  <si>
    <t>Tartozás 2011.</t>
  </si>
  <si>
    <t>Tartozás 2012.</t>
  </si>
  <si>
    <t>Tartozás 2013.</t>
  </si>
  <si>
    <t>Tartozás 2014.</t>
  </si>
  <si>
    <t>Tartozás 2015.</t>
  </si>
  <si>
    <t>Tartozás 2016.</t>
  </si>
  <si>
    <t>Tartozás 2017.</t>
  </si>
  <si>
    <t>Tartozás 2018.</t>
  </si>
  <si>
    <t>Tartozás 2019.</t>
  </si>
  <si>
    <t>Tartozás 2020.</t>
  </si>
  <si>
    <t>Tartozás 2021.</t>
  </si>
  <si>
    <t>Tartozás 2022.</t>
  </si>
  <si>
    <t>Tartozás 2023.</t>
  </si>
  <si>
    <t>Tartozás 2024.</t>
  </si>
  <si>
    <t>Tartozás 2025.</t>
  </si>
  <si>
    <t>Tartozás 2026.</t>
  </si>
  <si>
    <t>Tartozás 2027.</t>
  </si>
  <si>
    <t>Tartozás 2028.</t>
  </si>
  <si>
    <t>Tartozás 2029.</t>
  </si>
  <si>
    <t>Tartozás 2030.</t>
  </si>
  <si>
    <t>Tartozás 2031.</t>
  </si>
  <si>
    <t>Kölcsönnyújtás</t>
  </si>
  <si>
    <t xml:space="preserve"> - talajterhelési díj</t>
  </si>
  <si>
    <t>Tata Város Önkormányzata</t>
  </si>
  <si>
    <t>1. Helyi adók, gépjárműadó:</t>
  </si>
  <si>
    <t>Önkormányzati döntés alapján (I-III)</t>
  </si>
  <si>
    <t>I. Adóelengedés</t>
  </si>
  <si>
    <t xml:space="preserve"> - jövedelemhez kötött mentesség</t>
  </si>
  <si>
    <t xml:space="preserve"> - lakás célú 30 m2 alatti zártkerti építmény</t>
  </si>
  <si>
    <t>2.) Iparűzési adó:</t>
  </si>
  <si>
    <t xml:space="preserve"> - 2,5 M Ft alatti vállalkozási szintű adóalap</t>
  </si>
  <si>
    <t>Adóelengedés összesen:</t>
  </si>
  <si>
    <t xml:space="preserve"> - üdülő lakás adómértékkel</t>
  </si>
  <si>
    <t>Adókedvezmény összesen:</t>
  </si>
  <si>
    <t>III. Méltányossági eljárás keretében nyújtott adó,- pótlék,- és bírság elengedés, valamint fizetési könnyítés részletfizetésre, fizetési halasztásra vonatkozóan:</t>
  </si>
  <si>
    <t xml:space="preserve"> - építményadó</t>
  </si>
  <si>
    <t xml:space="preserve"> - telekadó</t>
  </si>
  <si>
    <t xml:space="preserve"> - iparűzési adó</t>
  </si>
  <si>
    <t xml:space="preserve"> - késedelmi pótlék</t>
  </si>
  <si>
    <t>Részletfizetési kedvezmény összesen:</t>
  </si>
  <si>
    <t>Fizetési halasztás összesen:</t>
  </si>
  <si>
    <t>Összes közvetett támogatás helyi adóknál és gépjárműadónál:</t>
  </si>
  <si>
    <t>2. Ellátottak térítési díjának, kártérítésének méltányossági elengedése:</t>
  </si>
  <si>
    <t>4. Ingatlan hasznosításból származó bevételből nyújtott kedvezmény, mentesség:</t>
  </si>
  <si>
    <t>Összes közvetett támogatás:</t>
  </si>
  <si>
    <t xml:space="preserve">Német Kisebbségi Önkormányzat </t>
  </si>
  <si>
    <t xml:space="preserve">Megnevezés </t>
  </si>
  <si>
    <t>Helyi kisebbségi önkormányzatok bevételei összesen</t>
  </si>
  <si>
    <t>Dologi kiadások és egyéb folyó kiadások</t>
  </si>
  <si>
    <t>Angol park rehabilitációja KDOP-2.1.1/B-2f-2009-0002</t>
  </si>
  <si>
    <t>Helyi kisebbségi önkormányzatok kiadásai összesen</t>
  </si>
  <si>
    <t xml:space="preserve">Cigány Kisebbségi Önkormányzat </t>
  </si>
  <si>
    <t xml:space="preserve">Lengyel Kisebbségi Önkormányzat </t>
  </si>
  <si>
    <t>Közfoglalkoztatottak éves létszám-erőirányzata</t>
  </si>
  <si>
    <t>Átlag létszám (fő)</t>
  </si>
  <si>
    <t xml:space="preserve"> - köztisztviselők, ügyintézők</t>
  </si>
  <si>
    <t>Polgármesteri Hivatal:</t>
  </si>
  <si>
    <t>Mindösszesen</t>
  </si>
  <si>
    <t>Kőkúti Általános Iskola</t>
  </si>
  <si>
    <t>Menner B. Zeneiskola</t>
  </si>
  <si>
    <t xml:space="preserve">Intézmények Gazdasági Hivatala </t>
  </si>
  <si>
    <t>Felhalmozási célú pénzeszközátadások és támogatások:</t>
  </si>
  <si>
    <t>támogatásértékű bevételei és államháztartáson kívülről átvett pénzeszközeinek</t>
  </si>
  <si>
    <t xml:space="preserve">E Ft-ban </t>
  </si>
  <si>
    <t>Adósságkezelési szolgáltatással kapcsolatos támogatás</t>
  </si>
  <si>
    <t>Közlekedési támogatás tanulóknak</t>
  </si>
  <si>
    <t>Házi segítségnyújtás előtti szakértői vizsgálatra</t>
  </si>
  <si>
    <t>E Ft-ban</t>
  </si>
  <si>
    <t xml:space="preserve"> - gépjárműadó</t>
  </si>
  <si>
    <t>Bevételek</t>
  </si>
  <si>
    <t>Időskorúak járadéka</t>
  </si>
  <si>
    <t>Köztemetés</t>
  </si>
  <si>
    <t>Közgyógyellátás</t>
  </si>
  <si>
    <t>(E Ft-ban)</t>
  </si>
  <si>
    <t>Önkormányzati költségvetési szervek engedélyezett álláshelyeinek száma</t>
  </si>
  <si>
    <t>Finanszírozási kiadások összesen:</t>
  </si>
  <si>
    <t>Lehívható központi támogatás</t>
  </si>
  <si>
    <t>Gyermektartásdíj megelőlegezése</t>
  </si>
  <si>
    <t>Fazekas u. Tagintézmény</t>
  </si>
  <si>
    <t xml:space="preserve"> - lakossági</t>
  </si>
  <si>
    <t xml:space="preserve"> - munkáltatói</t>
  </si>
  <si>
    <t>Kisebbségi Önkormányzatok összesen</t>
  </si>
  <si>
    <t>Egyéb ingatlan értékesítés</t>
  </si>
  <si>
    <t>Egyéb ingatlanértékesítés</t>
  </si>
  <si>
    <t>Felújítás ( ÁFA-val )</t>
  </si>
  <si>
    <t>( kiemelt előirányzatok szerinti részletezésben ) E Ft-ban</t>
  </si>
  <si>
    <t>Szivárvány Óvoda</t>
  </si>
  <si>
    <t>Polgármesteri Hivatal 2011. évi költségvetési terve (szakfeladatok és kiemelt előirányzatok szerinti bontásban) ( E Ft-ban)</t>
  </si>
  <si>
    <t>Országos, települési és területi kisebbségi választás lebonyolítása</t>
  </si>
  <si>
    <t>Közösségi szolgáltatás</t>
  </si>
  <si>
    <t>Hiteltörlesztés - hosszú lejáratú</t>
  </si>
  <si>
    <t>Pénzügyi befektetés (kötvényből) kamata</t>
  </si>
  <si>
    <t xml:space="preserve">Előző évi pénzmaradvány </t>
  </si>
  <si>
    <t>Árpád-házi Szent Erzsébet Szakkórház és Rendelőintézet</t>
  </si>
  <si>
    <t>Eredeti</t>
  </si>
  <si>
    <t xml:space="preserve">Eredeti </t>
  </si>
  <si>
    <t>ÁFA bevétel</t>
  </si>
  <si>
    <t>Dologi kiadás (beruházási hitelkamat és ÁFA nélkül)</t>
  </si>
  <si>
    <t>Kötvény kamata</t>
  </si>
  <si>
    <t>Működési céltartalék</t>
  </si>
  <si>
    <t>Intézmények Gazdasági Hivatala</t>
  </si>
  <si>
    <t>Mindösszesen:</t>
  </si>
  <si>
    <t>Kiadások</t>
  </si>
  <si>
    <t>Összesen</t>
  </si>
  <si>
    <t>Személyi juttatások</t>
  </si>
  <si>
    <t>Munkaadót terh. járulékok</t>
  </si>
  <si>
    <t>Dologi kiadások</t>
  </si>
  <si>
    <t>Kamatkiadások</t>
  </si>
  <si>
    <t>Hiány: 36.829</t>
  </si>
  <si>
    <t>Hiány: 1.544.726</t>
  </si>
  <si>
    <t>Ellátottak pénzbeli juttat.</t>
  </si>
  <si>
    <t>Beruházás ( ÁFA-val )</t>
  </si>
  <si>
    <t>Bevételi előirányzat</t>
  </si>
  <si>
    <t>Kiadási előirányzat</t>
  </si>
  <si>
    <t>Beruházás</t>
  </si>
  <si>
    <t>Földterület értékesítés</t>
  </si>
  <si>
    <t>Tartalékok</t>
  </si>
  <si>
    <t>Előző évi pénzmaradvány</t>
  </si>
  <si>
    <t>Személyi juttatás</t>
  </si>
  <si>
    <t>Járulékok</t>
  </si>
  <si>
    <t>Szociális támogatás műk.</t>
  </si>
  <si>
    <t>Ellátottak pénzbeli juttatása</t>
  </si>
  <si>
    <t>Összesen:</t>
  </si>
  <si>
    <t>Felújítás</t>
  </si>
  <si>
    <t>Beruházási hitel kamat</t>
  </si>
  <si>
    <t>Kölcsön visszatérülések</t>
  </si>
  <si>
    <t>Megnevezés</t>
  </si>
  <si>
    <t>Fizetendő ÁFA</t>
  </si>
  <si>
    <t>Fürdő utcai Óvoda</t>
  </si>
  <si>
    <t>Kálvária utcai Óvoda</t>
  </si>
  <si>
    <t>Geszti Óvoda</t>
  </si>
  <si>
    <t>Költségvetési bevételek összesen:</t>
  </si>
  <si>
    <t>Költségvetési kiadások összesen:</t>
  </si>
  <si>
    <t>Finanszírozási kiadás beruházási hitel törlesztés</t>
  </si>
  <si>
    <t>Helyi közlekedési támogatása</t>
  </si>
  <si>
    <t xml:space="preserve"> - Tagi kölcsön visszafizetése</t>
  </si>
  <si>
    <t xml:space="preserve"> - Tagi kölcsön  </t>
  </si>
  <si>
    <t xml:space="preserve"> - Távhő Kft.</t>
  </si>
  <si>
    <t>Adó, illeték kiszabása, beszedése, adó ellenőrzés</t>
  </si>
  <si>
    <t>Önkormányzat elszámolás költségvetési szerv</t>
  </si>
  <si>
    <t>Önkormányzati nemzetközi feladatok („HUSK”)</t>
  </si>
  <si>
    <t>Pedagógiai szakmai szolgáltatás</t>
  </si>
  <si>
    <t>Idősek nappali ellátása</t>
  </si>
  <si>
    <t>Önkormányzati szociális támogatások finanszírozása</t>
  </si>
  <si>
    <t>Bölcsődei ellátás</t>
  </si>
  <si>
    <t>Családi napközi</t>
  </si>
  <si>
    <t>Támogató szolgálat</t>
  </si>
  <si>
    <t>Önkormányzati ifjúsági rendezvények és programok, valamint támogatások (Gyermekbarát város)</t>
  </si>
  <si>
    <t>Intézmények Gazdasági Hivatalához tartozó önállóan működő intézmények 2011. évi költségvetése</t>
  </si>
  <si>
    <t>Intézmények Gazdasági Hivatalához tartozó részben önálló intézmények 2011. évi költségvetése</t>
  </si>
  <si>
    <t>Költségvetési alcím megnevezése</t>
  </si>
  <si>
    <t>Egyéb saját bevétel</t>
  </si>
  <si>
    <t>Egyéb saját bevételből ellátottak étkezési térítési díj bevétele</t>
  </si>
  <si>
    <t>ÁFA</t>
  </si>
  <si>
    <t>Átvett pénzeszközök</t>
  </si>
  <si>
    <t>Támogatásértékű bevétel</t>
  </si>
  <si>
    <t>Tárgyi eszköz, immat. javak értékesítése</t>
  </si>
  <si>
    <t>Bevételek összesen</t>
  </si>
  <si>
    <t>Kiadások összesen</t>
  </si>
  <si>
    <t>működési célra</t>
  </si>
  <si>
    <t>felhalmozási célra</t>
  </si>
  <si>
    <t>pénzforalom nélküli</t>
  </si>
  <si>
    <t>előző évi átvétele</t>
  </si>
  <si>
    <t>M.adókat terhelő jár.</t>
  </si>
  <si>
    <t>Dologi</t>
  </si>
  <si>
    <t>Dologiból ellátottakra vonatkozó élelmiszer beszerzés és vásárolt élelmezés</t>
  </si>
  <si>
    <t>Pénzbeli juttatás</t>
  </si>
  <si>
    <t>Fentartótói Kölcsön visszafizeté</t>
  </si>
  <si>
    <t>össz</t>
  </si>
  <si>
    <t>Támogatásértékű működési bevétel (állami támogatás)</t>
  </si>
  <si>
    <t>Működési célú támogatásértékű bevétel önkorm. Kv-i szervtől (PH)</t>
  </si>
  <si>
    <t>Kertvárosi Óvoda</t>
  </si>
  <si>
    <t>Bergengócia Óvoda</t>
  </si>
  <si>
    <t>Általános tartalék</t>
  </si>
  <si>
    <t>Járulék</t>
  </si>
  <si>
    <t>Dologi kiadás</t>
  </si>
  <si>
    <t>Lakásértékesítés</t>
  </si>
  <si>
    <t>Munkaadókat terhelő járulékok</t>
  </si>
  <si>
    <t>Dologi és egyéb folyók. össz.:</t>
  </si>
  <si>
    <t>Polgármesteri Hivatal</t>
  </si>
  <si>
    <t>Költségvetési szervek megnevezése</t>
  </si>
  <si>
    <t>Engedélyezett létszám (fő)</t>
  </si>
  <si>
    <t>Bartók B. úti Óvoda</t>
  </si>
  <si>
    <t>Vaszary János Általános Iskola</t>
  </si>
  <si>
    <t>Vaszary János Általános Iskola - Jázmin tagintézmény</t>
  </si>
  <si>
    <t>Móricz Zsigmond Könyvtár</t>
  </si>
  <si>
    <t>Intézmények Gazdasági Hivatala összesen</t>
  </si>
  <si>
    <t>Városi Önkormányzat Intézmények összesen:</t>
  </si>
  <si>
    <t xml:space="preserve"> - választott tisztségviselő</t>
  </si>
  <si>
    <t xml:space="preserve"> - Fényes-fürdő Kft.</t>
  </si>
  <si>
    <t xml:space="preserve"> - Víz-Zene-Virág Fesztivál Egyesület</t>
  </si>
  <si>
    <t xml:space="preserve"> - Víz-Zene-Virág Fesztivál Egyesületnek</t>
  </si>
  <si>
    <t xml:space="preserve"> - Távhő Kft.-nek</t>
  </si>
  <si>
    <t>Tárgyi eszköz értékesítés</t>
  </si>
  <si>
    <t xml:space="preserve"> - lakáscélú</t>
  </si>
  <si>
    <t xml:space="preserve"> - Távhő Kft-nek Öko programra</t>
  </si>
  <si>
    <t xml:space="preserve"> - Munkáltatói</t>
  </si>
  <si>
    <t xml:space="preserve"> - IGH-tól Polg. Hiv.-nak</t>
  </si>
  <si>
    <t>Mindösszesen kiadások:</t>
  </si>
  <si>
    <t>Mindösszesen bevételek:</t>
  </si>
  <si>
    <t xml:space="preserve"> - Közterület-felügyelet (önállóan működő)</t>
  </si>
  <si>
    <t>Vaszary János Általános Iskola - Tardos tagintézmény</t>
  </si>
  <si>
    <t xml:space="preserve">Ápolási díj járulék 24 % </t>
  </si>
  <si>
    <t>Mozgáskorlátozottak közlekedési támogatása</t>
  </si>
  <si>
    <t xml:space="preserve">Tata Város Polgármesteri Hivatal </t>
  </si>
  <si>
    <t>Támogatás értékű működési bevételek</t>
  </si>
  <si>
    <t>Támogatás értékű felhalmozási célú bevételek</t>
  </si>
  <si>
    <t>Tartósan munkanélküliek rendszeres szociális segélye</t>
  </si>
  <si>
    <t>Rendszeres szociális segély</t>
  </si>
  <si>
    <t>Lakásfenntartási támogatás (normatív)</t>
  </si>
  <si>
    <t>Lakásfenntartási támogatás (helyi megállapítás)</t>
  </si>
  <si>
    <t>Ápolási díj (normatív)</t>
  </si>
  <si>
    <t>Ápolási díj (helyi megállapítás)</t>
  </si>
  <si>
    <t>Átmeneti segély</t>
  </si>
  <si>
    <t>Temetési segély</t>
  </si>
  <si>
    <t>Otthonteremtési támogatás</t>
  </si>
  <si>
    <t>Természetben nyújtott átmeneti segély</t>
  </si>
  <si>
    <t>Rendszeres gyermekvédelmi támogatás (normatív)</t>
  </si>
  <si>
    <t>Rendkívüli gyermekvédelmi támogatás (helyi megállapítás)</t>
  </si>
  <si>
    <t>Hiány: 1.581.555</t>
  </si>
  <si>
    <t>Rászorultságtól függő pénzbeli szociális, gyermekvédelmi ellátások összesen</t>
  </si>
  <si>
    <t>Pénzmaradvány</t>
  </si>
  <si>
    <t>Természetben nyújtott ellátások összesen</t>
  </si>
  <si>
    <t>Önkormányzatok által folyósított szociális, gyermekvédelmi ellátások összesen:</t>
  </si>
  <si>
    <t xml:space="preserve"> - normatív</t>
  </si>
  <si>
    <t xml:space="preserve"> - méltányosság </t>
  </si>
  <si>
    <t>Tatai fiatalok életkezdési támogatásához</t>
  </si>
  <si>
    <t>Kötvénykibocsátásból bevétel:</t>
  </si>
  <si>
    <t>Kötvényforrás tartaléka:</t>
  </si>
  <si>
    <t>Kölcsön nyújtása lakáscélra:</t>
  </si>
  <si>
    <t>E. Ft-ban</t>
  </si>
  <si>
    <t>Bevétel</t>
  </si>
  <si>
    <t>Kiadás</t>
  </si>
  <si>
    <t>Működési kiadások</t>
  </si>
  <si>
    <t>Felhalmozási kiadások</t>
  </si>
  <si>
    <t>Hiteltörl. Kölcsön</t>
  </si>
  <si>
    <t xml:space="preserve">Személyi juttatások </t>
  </si>
  <si>
    <t>M.adókat terh. jár.</t>
  </si>
  <si>
    <t xml:space="preserve">Dologi egyéb folyó </t>
  </si>
  <si>
    <t>Pénzeszk. átadás és kezesség váll.</t>
  </si>
  <si>
    <t>Önk.által foly. ellátás</t>
  </si>
  <si>
    <t>024000</t>
  </si>
  <si>
    <t>Erdészeti szolgáltatás</t>
  </si>
  <si>
    <t>Víztermelés-, kezelés, ellátás</t>
  </si>
  <si>
    <t>Szennyvíz gyűjtés elhelyezés</t>
  </si>
  <si>
    <t>Települési hulladékkezelés</t>
  </si>
  <si>
    <t>Lakó- és nem lakó épületek építése</t>
  </si>
  <si>
    <t>Út, autópálya építése</t>
  </si>
  <si>
    <t>Közutak, hidak, alagutak üzemeltetése, fenntartása</t>
  </si>
  <si>
    <t>Üdülői szálláshely szolgáltatás</t>
  </si>
  <si>
    <t>Könyvkiadás</t>
  </si>
  <si>
    <t>Egyéb kiadói tevékenység (lapkiadás)</t>
  </si>
  <si>
    <t>Saját tulajdonú ingatlan adásvétele</t>
  </si>
  <si>
    <t>Lakóingatlan bérbeadás</t>
  </si>
  <si>
    <t>Nem lakóingatlan bérbeadása</t>
  </si>
  <si>
    <t>Ingatlankezelés</t>
  </si>
  <si>
    <t>Állategészségügyi ellátás</t>
  </si>
  <si>
    <t>Egyéb gép, tárgyi eszköz kölcsönzés</t>
  </si>
  <si>
    <t>Zöldterület-kezelés (Parkfenntartás)</t>
  </si>
  <si>
    <t>Zöldterület kezelés (játszótér fenntartás)</t>
  </si>
  <si>
    <t xml:space="preserve"> - IGH kölcsön bevétele </t>
  </si>
  <si>
    <t xml:space="preserve"> - IGH kölcsön visszafizetése Polgármesteri Hivatalnak</t>
  </si>
  <si>
    <t>Kölcsönnyújtás, kölcsönvisszafizetés</t>
  </si>
  <si>
    <t xml:space="preserve"> - IGH-nak kölcsön nyújtás (könyvtár 22.000 Vaszary  4.200, Kőkúti 7.900)</t>
  </si>
  <si>
    <t>Fénymásolás, egyéb irodai szolgáltatás</t>
  </si>
  <si>
    <t>Önkormányzati jogalkotás (képviselők)</t>
  </si>
  <si>
    <t>Önkormányzatok igazgatási tevékenysége</t>
  </si>
  <si>
    <t>Önkormányzatok igazgatási tevékenysége (Pénzmaradvány)</t>
  </si>
  <si>
    <t>Nemzeti ünnepek</t>
  </si>
  <si>
    <t>Kiemelt önkormányzati rendezvények (Minimarathon)</t>
  </si>
  <si>
    <t>Kiemelt önkormányzati rendezvények (Városi ünnepek)</t>
  </si>
  <si>
    <t>Kiemelt Önkormányzati rendezvények</t>
  </si>
  <si>
    <t>Önkormányzatok közbeszerzési eljárásainak lebonyolításával összefüggő feladatok</t>
  </si>
  <si>
    <t>Közvilágítás</t>
  </si>
  <si>
    <t>Város- és községgazdálkodási szolgáltatások</t>
  </si>
  <si>
    <t>VKG Környezetvédelem</t>
  </si>
  <si>
    <t>Város- és községgazdálkodási szolgáltatások (Építés és településfejlesztés)</t>
  </si>
  <si>
    <t>Önkormányzatok elszámolása (normatíva)</t>
  </si>
  <si>
    <t>Önkormányzatok elszámolásai (Építési bírság)</t>
  </si>
  <si>
    <t>Önkormányzat nemzetközi kapcsolatai (Testvérváros)</t>
  </si>
  <si>
    <t>Közterület rendjének fenntartása (Polgárőrség)</t>
  </si>
  <si>
    <t>Tűzoltás, műszaki mentés, katasztrófahelyzet elhárítása (Polgári védelem)</t>
  </si>
  <si>
    <t>Tatai Rendőrkapitányságnak</t>
  </si>
  <si>
    <t>5. sz. fogászati alapellátási körzet helyettesítésének megoldásához</t>
  </si>
  <si>
    <t>Bartók B. u 1. (2557/22 hrsz) ingatlan tulajdonjogának megvonása miatti kártalanítás</t>
  </si>
  <si>
    <t>Újhegyi közműfejlesztési hozzájárulás (áthúzódó)</t>
  </si>
  <si>
    <t xml:space="preserve"> - Árpád-házi Szent Erzsébet Szakkórház és Rendelőintézetnek</t>
  </si>
  <si>
    <t xml:space="preserve"> - Árpád-házi Szent Erzsébet Szakk. és Rendelőint.-től</t>
  </si>
  <si>
    <t>Felhalmozási támogatás értékű kiadás és pénzeszközátadás</t>
  </si>
  <si>
    <t>Óvodai nevelés</t>
  </si>
  <si>
    <t>Alapfokú oktatás</t>
  </si>
  <si>
    <t>Alapfokú művészeti oktatás</t>
  </si>
  <si>
    <t>Gyermekjóléti szociális ellátás</t>
  </si>
  <si>
    <t>Tanulmányi ösztöndíj</t>
  </si>
  <si>
    <t>Szociális ösztöndíj</t>
  </si>
  <si>
    <t>Sportszabadidős képzés (Tanuszoda)</t>
  </si>
  <si>
    <t>Oktatási kiegészítő tevékenységek komplex támogatása</t>
  </si>
  <si>
    <t>Járóbeteg-ellátás, fogorvosi ellátás komplex fejlesztési támogatása (Háziorvosok)</t>
  </si>
  <si>
    <t>Normatív lakásfenntartási támogatás</t>
  </si>
  <si>
    <t>Helyi rendszeres lakásfenntartási támogatás</t>
  </si>
  <si>
    <t>Ápolási díj alanyi jogon</t>
  </si>
  <si>
    <t>Ápolási díj méltányossági alapon</t>
  </si>
  <si>
    <t>Rendszeres GYEV</t>
  </si>
  <si>
    <t>Rendkívüli GYEV</t>
  </si>
  <si>
    <t>Egyéb önkormányzati eseti pénzbeli ellátás (Eseti és hivatalos gondnok)</t>
  </si>
  <si>
    <t>Egyéb önkormányzati eseti pénzbeli ellátások (életkezdési támogatás)</t>
  </si>
  <si>
    <t>Adósságkezelés</t>
  </si>
  <si>
    <t>Önkormányzat által nyújtott lakástámogatás</t>
  </si>
  <si>
    <t>Munkáltatók által nyújtott lakástámogatás</t>
  </si>
  <si>
    <t>Közcélú foglalkoztatás</t>
  </si>
  <si>
    <t>Közhasznú foglalkoztatás</t>
  </si>
  <si>
    <t>Közművelődési tevékenység támogatása</t>
  </si>
  <si>
    <t>Utánpótlás nevelési tevékenység és támogatása (Sport iskola)</t>
  </si>
  <si>
    <t>Máshova nem sorolható sport támogatások</t>
  </si>
  <si>
    <t>Szabadidős park, fürdő és strandszolgáltatás</t>
  </si>
  <si>
    <t>Egyéb közösségi, társadalmi tevékenység</t>
  </si>
  <si>
    <t>Köztemető fenntartás</t>
  </si>
  <si>
    <t>Egyéb személyi szolgáltatás (CSERI)</t>
  </si>
  <si>
    <t>Polgármesteri Hivatal feladatainak költségvetése összesen:</t>
  </si>
  <si>
    <t>Közterület-felügyelet 842421</t>
  </si>
  <si>
    <t>Kisebbségi Önkormányzatok</t>
  </si>
  <si>
    <t>841127</t>
  </si>
  <si>
    <t>Német Kisebbségi Önkormányzat</t>
  </si>
  <si>
    <t>Lengyel Kisebbségi Önkormányzat</t>
  </si>
  <si>
    <t>Cigány Kisebbségi Önkormányzat</t>
  </si>
  <si>
    <t>Rendelkezésre állási támogatás, illetve bérpótló juttatás</t>
  </si>
  <si>
    <t>Rendszeres szociális segély (egészségkárosodottak részére)</t>
  </si>
  <si>
    <t>Egyéb kisajátítási eljárások (József A. u., Ady E. u., Akácfa u., Kert u.)</t>
  </si>
  <si>
    <t>Új kötvénykibocsátásból tervezett kiadások</t>
  </si>
  <si>
    <t>Tervezett kötvény kibocsátás, felhasználás</t>
  </si>
  <si>
    <t>Óvodáztatási támogatás</t>
  </si>
  <si>
    <t>Lakáshitel törlesztések támogatása</t>
  </si>
  <si>
    <t xml:space="preserve">Hosszú lejáratú fejlesztési hitel CHF 3 havi CHF LIBOR + 0,1 %                         1,4 + 0,1=1,5 % </t>
  </si>
  <si>
    <t>Fejlesztési  hitel kisbusz vásárláshoz (CHF változó kamatozás)</t>
  </si>
  <si>
    <t xml:space="preserve">2011. évi nyitó állomány    </t>
  </si>
  <si>
    <t>Önkormányzati saját hatáskörben adott természetbeni ellátás (HPV védőoltás)</t>
  </si>
  <si>
    <t>Kötvénykibocsátás 6 havi CHF LIBOR + 0,7 %=1,25% (átlag)</t>
  </si>
  <si>
    <t xml:space="preserve">   Normatív állami hozzájárulás és a normatív részesedésű átengedett SZJA jogcímei és összegei 2009-2010-2011. évi tervezet TATA VÁROS ÖNKORMÁNYZATA</t>
  </si>
  <si>
    <t>Jogcímek megnevezése</t>
  </si>
  <si>
    <t>2009. évi várható</t>
  </si>
  <si>
    <t>2010. évi várható</t>
  </si>
  <si>
    <t>2011. év várható</t>
  </si>
  <si>
    <t>Különbözet</t>
  </si>
  <si>
    <t>Mutató</t>
  </si>
  <si>
    <t>Ft/mutató</t>
  </si>
  <si>
    <t>Összeg</t>
  </si>
  <si>
    <t>2011-2009</t>
  </si>
  <si>
    <t>2011-2010</t>
  </si>
  <si>
    <t>Normatív támogatások</t>
  </si>
  <si>
    <t>Tömegközlekedési feladatok</t>
  </si>
  <si>
    <t>Települési sportfeladatok</t>
  </si>
  <si>
    <t>Helyi közművelődési és közgyűjteményi feladatok</t>
  </si>
  <si>
    <t>Települési önkormányzatok üzemeltetési, igazgatási, sport- és kulturális feladatai</t>
  </si>
  <si>
    <t>Lakott külterülettel kapcsolatos feladatok</t>
  </si>
  <si>
    <t>Körzeti igazgatási feladatok</t>
  </si>
  <si>
    <t>Üdülőhelyi feladatok</t>
  </si>
  <si>
    <t>Egyéb támogatások összesen</t>
  </si>
  <si>
    <t>Pénzbeli szociális juttatások</t>
  </si>
  <si>
    <t>Szoc. és gyermekjóléti alapsz. ált. fel.</t>
  </si>
  <si>
    <t>Szociális étkeztetés</t>
  </si>
  <si>
    <t xml:space="preserve"> Nyugdíjminimum 300%-át meghaladó jövedelem esetén</t>
  </si>
  <si>
    <r>
      <t>Otthonközeli ellátás</t>
    </r>
    <r>
      <rPr>
        <sz val="9"/>
        <rFont val="Times New Roman CE"/>
        <family val="1"/>
      </rPr>
      <t>:szociális étkeztetést és a házi segítségnyújtást együttesen biztosítják (Fajlagos összeg 100 %-a)</t>
    </r>
  </si>
  <si>
    <t>Piac téri útkorszerűsítés Önkormányzati rész</t>
  </si>
  <si>
    <t>Kastély kertben található támfal (1850/9 hrsz.) helyreállítás</t>
  </si>
  <si>
    <t>Fényes Fasori Idősek Otthona bővítés</t>
  </si>
  <si>
    <t>Felújítás 2011. évi:</t>
  </si>
  <si>
    <t>Talentum Iskola szennyvízvezeték</t>
  </si>
  <si>
    <t>Kocsi úti temetőben ravatalozó felújítás</t>
  </si>
  <si>
    <t>Környei úti temetőben ravatalozó előtér felújítás</t>
  </si>
  <si>
    <t>Polgármesteri Hivatal épületében kézi irattár</t>
  </si>
  <si>
    <t>Vaszary Villa állagmegovó munkái</t>
  </si>
  <si>
    <t>Tatai Városgazda Nonprofit Kft-nek telephely kialakításának befejezésére 402/2010.(XII.15.)</t>
  </si>
  <si>
    <t xml:space="preserve">Tatai Távhőnek a rendszer biztonságos működésével kapcsolatos felújításokra </t>
  </si>
  <si>
    <t>Közlekedésbiztonsági kisköltségű beavatkozások pályázathoz az útpénztárnak</t>
  </si>
  <si>
    <r>
      <t>Otthonközeli ellátás:</t>
    </r>
    <r>
      <rPr>
        <sz val="9"/>
        <rFont val="Times New Roman CE"/>
        <family val="1"/>
      </rPr>
      <t xml:space="preserve"> azon ellátottak után, akik részére szociális étkeztetést biztosít az önkormányzat ( Fajlagos összeg 25%-a)</t>
    </r>
  </si>
  <si>
    <r>
      <t>Otthonközeli ellátás:</t>
    </r>
    <r>
      <rPr>
        <sz val="9"/>
        <rFont val="Times New Roman CE"/>
        <family val="0"/>
      </rPr>
      <t>azon ellátottak után, akik részére időskorúak nappali ellátását biztosít ( Fajlagos összeg 40%-a)</t>
    </r>
  </si>
  <si>
    <t>Házi segítségnyújtás</t>
  </si>
  <si>
    <t>Házi segítségnyújtás a nyugdíjminimum 150%-át meghaladó jövedelem esetén</t>
  </si>
  <si>
    <t>Házi segítségnyújtás a nyugdíjminimum 150%-át meg nem haladó jöv. esetén</t>
  </si>
  <si>
    <t>Jelzőrendszeres házi segítségnyújtás</t>
  </si>
  <si>
    <t>Hitelfelvétel, kötvénykibocsátás</t>
  </si>
  <si>
    <t>Kocsi u. 4. Ingatlan vételár rész 8/2 hrsz.</t>
  </si>
  <si>
    <t>Kossuth tér rehabilitációja 277/2010.(VIII.18.)</t>
  </si>
  <si>
    <t xml:space="preserve"> Kötvénykibocsátásból rendelkezésre álló fejlesztési forrás felhasználás (E Ft-ban)</t>
  </si>
  <si>
    <t>2008. évben kibocsátott kötvény</t>
  </si>
  <si>
    <t>Felhalmozási kamatbevételek</t>
  </si>
  <si>
    <t>Felújítási feladatok 2011. évi</t>
  </si>
  <si>
    <t>Által-ér völgyi kerékpárút</t>
  </si>
  <si>
    <t>Által-ér völgyi kerékpárút KÖZOP-2008-3.2 216/2010.(VI.31.)</t>
  </si>
  <si>
    <t>Panel Program 231/2008.(VIII.28.), 246/2009.(IX.30.), 498/2009.(XII.22.)</t>
  </si>
  <si>
    <t>Öko program 230/2008.(VIII.28.), 143/2009.(V.27.), 109/2010.(XII.15.)</t>
  </si>
  <si>
    <t>Közlekedésbiztonsági tervezések pályázathoz az útpénztárnak</t>
  </si>
  <si>
    <t>Időskorúak nappali ellátása (Petőfi u, Deák F.u.)</t>
  </si>
  <si>
    <t>Fogyatékos és demens személyek nappali intézményi ellátása (ÉNO)</t>
  </si>
  <si>
    <t>Hajléktalanok nappali intézményi ellátása</t>
  </si>
  <si>
    <t>Hajléktalanok átmeneti szállása, éjjeli menedékhely</t>
  </si>
  <si>
    <t>Szociális normatív támogatások összesen</t>
  </si>
  <si>
    <t>Óvodai nevelés teljesítménymutató alapján 2008.évi költségvetés szerint</t>
  </si>
  <si>
    <t>Óvodai nevelés teljesítménymutató alapján 2009.évi költségvetés szerint</t>
  </si>
  <si>
    <t>Pénzeszköz átadás, támogatás</t>
  </si>
  <si>
    <t>Garancia és kezességvállalás - Városkapu Zrt-nek</t>
  </si>
  <si>
    <t xml:space="preserve"> - Távhő Kft.-nek likviditási problémákra</t>
  </si>
  <si>
    <t>Egyéb működési bevétel (faértékesítés, temető fenntartás, rendezvényszervezés, üdülés, intézményi térítési díjak stb.)</t>
  </si>
  <si>
    <t xml:space="preserve"> - IGH-nak kölcsön</t>
  </si>
  <si>
    <t>Garancia és kezességvállalás Távhő Kft.</t>
  </si>
  <si>
    <t xml:space="preserve"> - Távhő Kft-től</t>
  </si>
  <si>
    <t>Felhalmozási támogatás</t>
  </si>
  <si>
    <t>Önkormányzat által folyósított ellátás</t>
  </si>
  <si>
    <t>Kötvény tartalék</t>
  </si>
  <si>
    <t>Kapott fenntartói kölcsön</t>
  </si>
  <si>
    <t>Támogatás értékű működési kiadások és működési célú pénzeszközátadás</t>
  </si>
  <si>
    <t>Kölcsön visszatérülés, kölcsön bevétel</t>
  </si>
  <si>
    <t xml:space="preserve"> - Laskás célú</t>
  </si>
  <si>
    <t xml:space="preserve"> - Víz-Zene-Virág Fesztivál</t>
  </si>
  <si>
    <t>ÁROP Hivatal szervezetfejlesztése ÁROP-1.A.2./A-2008-0087</t>
  </si>
  <si>
    <t xml:space="preserve">Óvodai nevelés teljesítménymutató alapján </t>
  </si>
  <si>
    <t>Általános isk.oktatás teljesítménymutató alapján 2008. évi ktg.vetés szerint I-IV.</t>
  </si>
  <si>
    <t>Általános isk.oktatás teljesítménymutató alapján 2009. évi ktg.vetés alapján I-IV.</t>
  </si>
  <si>
    <t>Általános isk.oktatás teljesítménymutató alapján  I-IV.</t>
  </si>
  <si>
    <t>Általános isk.oktatás teljesítménymutató alapján 2008. évi ktgv.sz. V-VIII</t>
  </si>
  <si>
    <t>Általános isk.oktatás teljesítménymutató alapján 2009. évi ktgv. sz. V-VIII.</t>
  </si>
  <si>
    <t>Általános isk.oktatás teljesítménymutató alapján V-VIII.</t>
  </si>
  <si>
    <t>Testi, érzékszervi, középsúlyos értelmi fogyatékos gyermekek óvodában</t>
  </si>
  <si>
    <t>Gyógypedagógiai ellátás óvodában 2009. évi törvény alapján</t>
  </si>
  <si>
    <t>Testi, érzékszervi, középsúlyos értelmi fogyatékos gyermekek isk. 2008.évi ktgv.</t>
  </si>
  <si>
    <t>Testi, érzékszervi, középsúlyos értelmi fogyatékos gyermekek isk. 2009.évi ktgv.</t>
  </si>
  <si>
    <t xml:space="preserve">Testi, érzékszervi, középsúlyos értelmi fogyatékos gyermekek isk. </t>
  </si>
  <si>
    <t>Beszédfogyatékos, enyhe értelmi fogyatékos gyermekek isk. 2008.évi ktgv.</t>
  </si>
  <si>
    <t>Beszédfogyatékos, enyhe értelmi fogyatékos gyermekek isk.2009. évi ktgv.</t>
  </si>
  <si>
    <t>Beszédfogyatékos, enyhe értelmi fogyatékos gyermekek isk.</t>
  </si>
  <si>
    <t>Viselkedés fejlődésének organikus okokra vissza nem vez. tanulók 2008.évi ktgv.</t>
  </si>
  <si>
    <t>Viselkedés fejlődésének organikus okokra vissza nem vez. tanulók 2009.évi ktgv.</t>
  </si>
  <si>
    <t xml:space="preserve">Viselkedés fejlődésének organikus okokra vissza nem vez. tanulók </t>
  </si>
  <si>
    <t xml:space="preserve"> - Távhő likviditási problémák miatt</t>
  </si>
  <si>
    <t>Kamat bevétel</t>
  </si>
  <si>
    <t>Sajátos működési bevétel</t>
  </si>
  <si>
    <t xml:space="preserve"> - Építményadó</t>
  </si>
  <si>
    <t xml:space="preserve"> - Telekadó</t>
  </si>
  <si>
    <t xml:space="preserve"> - Idegenforgalmi adó</t>
  </si>
  <si>
    <t xml:space="preserve"> - Iparűzési adó</t>
  </si>
  <si>
    <t xml:space="preserve"> - Késedelmi pótlék</t>
  </si>
  <si>
    <t xml:space="preserve"> - Egyéb beszedési szla (pénzbírság, helyszíni bírság)</t>
  </si>
  <si>
    <t>Átengedett központi adók</t>
  </si>
  <si>
    <t xml:space="preserve"> - Átengedett SZJA</t>
  </si>
  <si>
    <t xml:space="preserve"> - Gépjárműadó</t>
  </si>
  <si>
    <t xml:space="preserve"> - Termőföld bérbeadásból SZJA</t>
  </si>
  <si>
    <t>Bírságok (környezetvédelmi 400, közterület 3.000)</t>
  </si>
  <si>
    <t>Bérleti díj</t>
  </si>
  <si>
    <t>Működési támogatás</t>
  </si>
  <si>
    <t>Normatíva</t>
  </si>
  <si>
    <t>Normatív kötött felhasználású támogatás</t>
  </si>
  <si>
    <t xml:space="preserve"> - Egyes szociális feladatok támogatás, szociális továbbképzés és szakvizsga</t>
  </si>
  <si>
    <t>Egyéb működési bevételek</t>
  </si>
  <si>
    <t>Támogatás értékű működési bevétel TB-től</t>
  </si>
  <si>
    <t>Felhalmozási és tőke jellegű bevétel</t>
  </si>
  <si>
    <t>Központosított előirányzatokból</t>
  </si>
  <si>
    <t>Lakásértékesítés (részletek)</t>
  </si>
  <si>
    <t>Felhalmozási kamat bevétel</t>
  </si>
  <si>
    <t>Fejlesztési célú támogatások</t>
  </si>
  <si>
    <t xml:space="preserve"> - Felhalmozási célú pénzeszközátvétel</t>
  </si>
  <si>
    <t>Támogatási kölcsönök visszatérülése, igénybevétele</t>
  </si>
  <si>
    <t>Kötvénykibocsátás, hitelfelvétel</t>
  </si>
  <si>
    <t>BEVÉTELEK MINDÖSSZESEN</t>
  </si>
  <si>
    <t>Egyéb működési kiadás</t>
  </si>
  <si>
    <t>Támogatás értékű működési kiadások és működési célú pénzeszköz átadás</t>
  </si>
  <si>
    <t>Felhalmozási céltartalék</t>
  </si>
  <si>
    <t>Támogatási kölcsönök</t>
  </si>
  <si>
    <t>Támogatás értékű felhalmozási kiadás és pénzeszközátadás</t>
  </si>
  <si>
    <t>Működési</t>
  </si>
  <si>
    <t>Felhalmozási</t>
  </si>
  <si>
    <t>Támogatási kölcsönök nyújtása, törlesztése</t>
  </si>
  <si>
    <t>KIADÁSOK MINDÖSSZESEN</t>
  </si>
  <si>
    <t>Megismerő funkciók vagy viselkedés fejlődésének tartós rendellenessége m.</t>
  </si>
  <si>
    <t>Magántanuló orvosi igazolás alapján 2008.évi költségvetés alapján</t>
  </si>
  <si>
    <t>Magántanuló orvosi igazolás alapján 2009.évi költségvetés alapján</t>
  </si>
  <si>
    <t xml:space="preserve">Magántanuló orvosi igazolás alapján </t>
  </si>
  <si>
    <t>Alapfokú művészetoktatás, zeneművészeti ág (2008. évben 8 hónapra)</t>
  </si>
  <si>
    <t>Alapfokú művészetoktatás, zeneművészeti ág 2009. évi ktgv.alapján</t>
  </si>
  <si>
    <t>Alapfokú művészetoktatás, zeneművészeti ág 8 hónapra</t>
  </si>
  <si>
    <t>Alapfokú művészetoktatás képzőművészeti ág 2008. évi ktgv.alapján</t>
  </si>
</sst>
</file>

<file path=xl/styles.xml><?xml version="1.0" encoding="utf-8"?>
<styleSheet xmlns="http://schemas.openxmlformats.org/spreadsheetml/2006/main">
  <numFmts count="3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_ ;\-#,##0\ "/>
    <numFmt numFmtId="165" formatCode="0.0"/>
    <numFmt numFmtId="166" formatCode="0.000"/>
    <numFmt numFmtId="167" formatCode="&quot;Igen&quot;;&quot;Igen&quot;;&quot;Nem&quot;"/>
    <numFmt numFmtId="168" formatCode="&quot;Igaz&quot;;&quot;Igaz&quot;;&quot;Hamis&quot;"/>
    <numFmt numFmtId="169" formatCode="&quot;Be&quot;;&quot;Be&quot;;&quot;Ki&quot;"/>
    <numFmt numFmtId="170" formatCode="#,##0.0000"/>
    <numFmt numFmtId="171" formatCode="yyyy/\ m/\ d\."/>
    <numFmt numFmtId="172" formatCode="#,##0.0"/>
    <numFmt numFmtId="173" formatCode="0&quot;.folyósítás&quot;"/>
    <numFmt numFmtId="174" formatCode="#,##0.000"/>
    <numFmt numFmtId="175" formatCode="#,##0,"/>
    <numFmt numFmtId="176" formatCode="#,##0;[Red]\-#,##0"/>
    <numFmt numFmtId="177" formatCode="0.0%"/>
    <numFmt numFmtId="178" formatCode="[$-40E]yyyy\.\ mmmm\ d\."/>
    <numFmt numFmtId="179" formatCode="[$-40E]yyyy/\ mmm/\ d\.;@"/>
    <numFmt numFmtId="180" formatCode="[$-F800]dddd\,\ mmmm\ dd\,\ yyyy"/>
    <numFmt numFmtId="181" formatCode="#,##0.0000000"/>
    <numFmt numFmtId="182" formatCode="#,##0.000000"/>
    <numFmt numFmtId="183" formatCode="#,##0;\-#,##0"/>
    <numFmt numFmtId="184" formatCode="dddd&quot;, &quot;mmmm\ dd&quot;, &quot;yyyy"/>
    <numFmt numFmtId="185" formatCode="_-* #,##0.00\ _F_t_-;\-* #,##0.00\ _F_t_-;_-* \-??\ _F_t_-;_-@_-"/>
    <numFmt numFmtId="186" formatCode="&quot;H-&quot;0000"/>
  </numFmts>
  <fonts count="57">
    <font>
      <sz val="10"/>
      <name val="Arial CE"/>
      <family val="0"/>
    </font>
    <font>
      <b/>
      <sz val="9"/>
      <name val="Times New Roman"/>
      <family val="1"/>
    </font>
    <font>
      <sz val="12"/>
      <name val="Times New Roman"/>
      <family val="1"/>
    </font>
    <font>
      <sz val="10"/>
      <name val="Times New Roman CE"/>
      <family val="1"/>
    </font>
    <font>
      <b/>
      <sz val="10"/>
      <name val="Times New Roman CE"/>
      <family val="1"/>
    </font>
    <font>
      <b/>
      <sz val="12"/>
      <name val="Times New Roman CE"/>
      <family val="1"/>
    </font>
    <font>
      <sz val="12"/>
      <name val="Times New Roman CE"/>
      <family val="1"/>
    </font>
    <font>
      <sz val="9"/>
      <name val="Times New Roman CE"/>
      <family val="1"/>
    </font>
    <font>
      <b/>
      <sz val="9"/>
      <name val="Times New Roman CE"/>
      <family val="1"/>
    </font>
    <font>
      <sz val="10"/>
      <name val="Times New Roman"/>
      <family val="1"/>
    </font>
    <font>
      <sz val="10"/>
      <name val="MS Sans Serif"/>
      <family val="0"/>
    </font>
    <font>
      <b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1"/>
      <name val="Times New Roman CE"/>
      <family val="1"/>
    </font>
    <font>
      <sz val="11"/>
      <name val="Times New Roman CE"/>
      <family val="1"/>
    </font>
    <font>
      <sz val="11"/>
      <name val="Arial CE"/>
      <family val="0"/>
    </font>
    <font>
      <i/>
      <sz val="10"/>
      <name val="Times New Roman"/>
      <family val="1"/>
    </font>
    <font>
      <b/>
      <sz val="14"/>
      <name val="Times New Roman"/>
      <family val="1"/>
    </font>
    <font>
      <i/>
      <sz val="10"/>
      <name val="Arial CE"/>
      <family val="0"/>
    </font>
    <font>
      <b/>
      <i/>
      <sz val="11"/>
      <name val="Times New Roman CE"/>
      <family val="1"/>
    </font>
    <font>
      <i/>
      <sz val="11"/>
      <name val="Times New Roman CE"/>
      <family val="1"/>
    </font>
    <font>
      <sz val="11"/>
      <name val="Times New Roman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i/>
      <sz val="10"/>
      <name val="Times New Roman CE"/>
      <family val="1"/>
    </font>
    <font>
      <b/>
      <sz val="12"/>
      <name val="Times New Roman"/>
      <family val="1"/>
    </font>
    <font>
      <b/>
      <i/>
      <sz val="10"/>
      <name val="Times New Roman CE"/>
      <family val="1"/>
    </font>
    <font>
      <b/>
      <i/>
      <sz val="10"/>
      <name val="Arial CE"/>
      <family val="0"/>
    </font>
    <font>
      <b/>
      <i/>
      <sz val="10"/>
      <name val="Times New Roman"/>
      <family val="1"/>
    </font>
    <font>
      <b/>
      <u val="single"/>
      <sz val="10"/>
      <name val="Times New Roman"/>
      <family val="1"/>
    </font>
    <font>
      <sz val="10"/>
      <name val="Arial"/>
      <family val="0"/>
    </font>
    <font>
      <b/>
      <u val="single"/>
      <sz val="12"/>
      <name val="Times New Roman"/>
      <family val="1"/>
    </font>
    <font>
      <b/>
      <u val="single"/>
      <sz val="10"/>
      <name val="Arial CE"/>
      <family val="0"/>
    </font>
    <font>
      <b/>
      <sz val="8"/>
      <name val="Arial CE"/>
      <family val="2"/>
    </font>
    <font>
      <b/>
      <sz val="12"/>
      <name val="Arial CE"/>
      <family val="0"/>
    </font>
    <font>
      <b/>
      <sz val="10"/>
      <name val="Arial"/>
      <family val="2"/>
    </font>
    <font>
      <sz val="8"/>
      <name val="Arial CE"/>
      <family val="0"/>
    </font>
    <font>
      <b/>
      <i/>
      <sz val="11"/>
      <name val="Times New Roman"/>
      <family val="1"/>
    </font>
    <font>
      <sz val="9"/>
      <name val="Times New Roman"/>
      <family val="1"/>
    </font>
    <font>
      <b/>
      <i/>
      <sz val="9"/>
      <name val="Times New Roman CE"/>
      <family val="0"/>
    </font>
    <font>
      <i/>
      <sz val="9"/>
      <name val="Times New Roman CE"/>
      <family val="0"/>
    </font>
    <font>
      <b/>
      <i/>
      <sz val="9"/>
      <name val="Times New Roman"/>
      <family val="1"/>
    </font>
    <font>
      <i/>
      <sz val="9"/>
      <name val="Times New Roman"/>
      <family val="1"/>
    </font>
    <font>
      <b/>
      <u val="single"/>
      <sz val="10"/>
      <name val="Arial"/>
      <family val="2"/>
    </font>
    <font>
      <b/>
      <i/>
      <sz val="10"/>
      <name val="Arial"/>
      <family val="2"/>
    </font>
    <font>
      <sz val="12"/>
      <name val="Arial"/>
      <family val="0"/>
    </font>
    <font>
      <b/>
      <u val="single"/>
      <sz val="11"/>
      <name val="Times New Roman CE"/>
      <family val="0"/>
    </font>
    <font>
      <sz val="8"/>
      <name val="Times New Roman"/>
      <family val="1"/>
    </font>
    <font>
      <b/>
      <sz val="7"/>
      <name val="Times New Roman"/>
      <family val="1"/>
    </font>
    <font>
      <sz val="10"/>
      <color indexed="10"/>
      <name val="Arial"/>
      <family val="0"/>
    </font>
    <font>
      <sz val="12"/>
      <name val="Arial CE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51">
    <border>
      <left/>
      <right/>
      <top/>
      <bottom/>
      <diagonal/>
    </border>
    <border>
      <left style="double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thin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double"/>
      <right style="thin"/>
      <top>
        <color indexed="63"/>
      </top>
      <bottom style="double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>
        <color indexed="63"/>
      </left>
      <right style="thin"/>
      <top style="thin"/>
      <bottom style="thin"/>
    </border>
    <border>
      <left style="thin"/>
      <right style="double"/>
      <top style="double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thin"/>
      <bottom style="thin"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medium"/>
    </border>
    <border>
      <left style="thin"/>
      <right style="double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thin"/>
      <right style="double"/>
      <top style="thin"/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medium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double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>
        <color indexed="8"/>
      </left>
      <right style="double">
        <color indexed="8"/>
      </right>
      <top style="double">
        <color indexed="8"/>
      </top>
      <bottom style="medium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thin"/>
      <right style="double"/>
      <top style="medium"/>
      <bottom style="double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medium"/>
      <bottom style="thin"/>
    </border>
    <border>
      <left style="thin"/>
      <right style="double"/>
      <top>
        <color indexed="63"/>
      </top>
      <bottom style="medium"/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/>
      <top style="thin"/>
      <bottom style="thin"/>
    </border>
    <border>
      <left style="thin"/>
      <right style="double">
        <color indexed="8"/>
      </right>
      <top style="thin"/>
      <bottom style="thin"/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thin"/>
    </border>
    <border>
      <left style="thin"/>
      <right style="medium"/>
      <top style="double"/>
      <bottom style="thin"/>
    </border>
    <border>
      <left style="medium"/>
      <right style="thin"/>
      <top style="double"/>
      <bottom style="thin"/>
    </border>
    <border>
      <left style="medium"/>
      <right style="thin"/>
      <top style="thin"/>
      <bottom style="double"/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/>
    </border>
    <border>
      <left style="thin">
        <color indexed="8"/>
      </left>
      <right style="double">
        <color indexed="8"/>
      </right>
      <top style="double">
        <color indexed="8"/>
      </top>
      <bottom style="thin"/>
    </border>
    <border>
      <left style="double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medium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double">
        <color indexed="8"/>
      </right>
      <top style="thin">
        <color indexed="8"/>
      </top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double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double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/>
      <top style="double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/>
      <right style="thin"/>
      <top style="double"/>
      <bottom>
        <color indexed="63"/>
      </bottom>
    </border>
    <border>
      <left style="double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double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>
        <color indexed="8"/>
      </left>
      <right style="thin">
        <color indexed="8"/>
      </right>
      <top style="double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medium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93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0" fontId="3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3" fontId="3" fillId="0" borderId="0" xfId="0" applyNumberFormat="1" applyFont="1" applyAlignment="1">
      <alignment/>
    </xf>
    <xf numFmtId="0" fontId="3" fillId="0" borderId="1" xfId="0" applyFont="1" applyBorder="1" applyAlignment="1">
      <alignment/>
    </xf>
    <xf numFmtId="0" fontId="3" fillId="0" borderId="0" xfId="24" applyFont="1" applyAlignment="1" quotePrefix="1">
      <alignment horizontal="left"/>
      <protection/>
    </xf>
    <xf numFmtId="0" fontId="3" fillId="0" borderId="0" xfId="24" applyFont="1" applyAlignment="1">
      <alignment/>
      <protection/>
    </xf>
    <xf numFmtId="0" fontId="3" fillId="0" borderId="0" xfId="24" applyFont="1">
      <alignment/>
      <protection/>
    </xf>
    <xf numFmtId="3" fontId="3" fillId="0" borderId="0" xfId="24" applyNumberFormat="1" applyFont="1">
      <alignment/>
      <protection/>
    </xf>
    <xf numFmtId="3" fontId="3" fillId="0" borderId="0" xfId="24" applyNumberFormat="1" applyFont="1" applyAlignment="1">
      <alignment horizontal="right"/>
      <protection/>
    </xf>
    <xf numFmtId="0" fontId="7" fillId="0" borderId="0" xfId="0" applyFont="1" applyBorder="1" applyAlignment="1">
      <alignment/>
    </xf>
    <xf numFmtId="0" fontId="7" fillId="0" borderId="2" xfId="0" applyFont="1" applyBorder="1" applyAlignment="1">
      <alignment/>
    </xf>
    <xf numFmtId="0" fontId="7" fillId="0" borderId="3" xfId="0" applyFont="1" applyBorder="1" applyAlignment="1">
      <alignment/>
    </xf>
    <xf numFmtId="0" fontId="7" fillId="0" borderId="4" xfId="0" applyFont="1" applyBorder="1" applyAlignment="1">
      <alignment/>
    </xf>
    <xf numFmtId="0" fontId="8" fillId="0" borderId="2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5" xfId="0" applyFont="1" applyBorder="1" applyAlignment="1">
      <alignment/>
    </xf>
    <xf numFmtId="0" fontId="8" fillId="0" borderId="6" xfId="0" applyFont="1" applyBorder="1" applyAlignment="1">
      <alignment/>
    </xf>
    <xf numFmtId="0" fontId="8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0" xfId="24" applyFont="1">
      <alignment/>
      <protection/>
    </xf>
    <xf numFmtId="0" fontId="3" fillId="0" borderId="0" xfId="24" applyFont="1" applyBorder="1">
      <alignment/>
      <protection/>
    </xf>
    <xf numFmtId="0" fontId="3" fillId="0" borderId="8" xfId="24" applyFont="1" applyBorder="1">
      <alignment/>
      <protection/>
    </xf>
    <xf numFmtId="3" fontId="4" fillId="0" borderId="0" xfId="24" applyNumberFormat="1" applyFont="1" applyBorder="1">
      <alignment/>
      <protection/>
    </xf>
    <xf numFmtId="0" fontId="2" fillId="0" borderId="0" xfId="0" applyFont="1" applyAlignment="1">
      <alignment/>
    </xf>
    <xf numFmtId="0" fontId="4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top" wrapText="1"/>
    </xf>
    <xf numFmtId="3" fontId="4" fillId="0" borderId="10" xfId="0" applyNumberFormat="1" applyFont="1" applyBorder="1" applyAlignment="1">
      <alignment wrapText="1"/>
    </xf>
    <xf numFmtId="3" fontId="4" fillId="0" borderId="11" xfId="0" applyNumberFormat="1" applyFont="1" applyBorder="1" applyAlignment="1">
      <alignment wrapText="1"/>
    </xf>
    <xf numFmtId="0" fontId="4" fillId="0" borderId="12" xfId="0" applyFont="1" applyBorder="1" applyAlignment="1">
      <alignment/>
    </xf>
    <xf numFmtId="0" fontId="16" fillId="0" borderId="0" xfId="24" applyFont="1" applyAlignment="1" quotePrefix="1">
      <alignment horizontal="center"/>
      <protection/>
    </xf>
    <xf numFmtId="0" fontId="17" fillId="0" borderId="0" xfId="24" applyFont="1">
      <alignment/>
      <protection/>
    </xf>
    <xf numFmtId="0" fontId="17" fillId="0" borderId="0" xfId="0" applyFont="1" applyAlignment="1">
      <alignment/>
    </xf>
    <xf numFmtId="0" fontId="17" fillId="0" borderId="0" xfId="24" applyFont="1" applyAlignment="1" quotePrefix="1">
      <alignment horizontal="left"/>
      <protection/>
    </xf>
    <xf numFmtId="0" fontId="17" fillId="0" borderId="0" xfId="24" applyFont="1" applyAlignment="1">
      <alignment/>
      <protection/>
    </xf>
    <xf numFmtId="0" fontId="16" fillId="0" borderId="0" xfId="0" applyFont="1" applyAlignment="1">
      <alignment horizontal="center"/>
    </xf>
    <xf numFmtId="3" fontId="4" fillId="0" borderId="11" xfId="0" applyNumberFormat="1" applyFont="1" applyBorder="1" applyAlignment="1">
      <alignment horizontal="center" wrapText="1"/>
    </xf>
    <xf numFmtId="3" fontId="4" fillId="0" borderId="3" xfId="0" applyNumberFormat="1" applyFont="1" applyBorder="1" applyAlignment="1">
      <alignment wrapText="1"/>
    </xf>
    <xf numFmtId="3" fontId="4" fillId="0" borderId="4" xfId="0" applyNumberFormat="1" applyFont="1" applyBorder="1" applyAlignment="1">
      <alignment wrapText="1"/>
    </xf>
    <xf numFmtId="37" fontId="4" fillId="0" borderId="11" xfId="0" applyNumberFormat="1" applyFont="1" applyBorder="1" applyAlignment="1">
      <alignment wrapText="1"/>
    </xf>
    <xf numFmtId="3" fontId="3" fillId="0" borderId="11" xfId="0" applyNumberFormat="1" applyFont="1" applyBorder="1" applyAlignment="1">
      <alignment wrapText="1"/>
    </xf>
    <xf numFmtId="3" fontId="3" fillId="0" borderId="10" xfId="0" applyNumberFormat="1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13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4" fillId="0" borderId="13" xfId="0" applyFont="1" applyBorder="1" applyAlignment="1">
      <alignment/>
    </xf>
    <xf numFmtId="37" fontId="4" fillId="0" borderId="14" xfId="0" applyNumberFormat="1" applyFont="1" applyBorder="1" applyAlignment="1">
      <alignment vertical="center" wrapText="1"/>
    </xf>
    <xf numFmtId="0" fontId="15" fillId="0" borderId="0" xfId="0" applyFont="1" applyAlignment="1">
      <alignment horizontal="center"/>
    </xf>
    <xf numFmtId="0" fontId="1" fillId="0" borderId="0" xfId="0" applyFont="1" applyAlignment="1">
      <alignment/>
    </xf>
    <xf numFmtId="0" fontId="15" fillId="0" borderId="0" xfId="0" applyFont="1" applyAlignment="1">
      <alignment/>
    </xf>
    <xf numFmtId="0" fontId="9" fillId="0" borderId="12" xfId="0" applyFont="1" applyBorder="1" applyAlignment="1">
      <alignment horizontal="justify" vertical="top" wrapText="1"/>
    </xf>
    <xf numFmtId="0" fontId="9" fillId="0" borderId="1" xfId="0" applyFont="1" applyBorder="1" applyAlignment="1">
      <alignment horizontal="justify" vertical="top" wrapText="1"/>
    </xf>
    <xf numFmtId="0" fontId="19" fillId="0" borderId="12" xfId="0" applyFont="1" applyBorder="1" applyAlignment="1">
      <alignment horizontal="justify" vertical="top" wrapText="1"/>
    </xf>
    <xf numFmtId="0" fontId="14" fillId="0" borderId="12" xfId="0" applyFont="1" applyBorder="1" applyAlignment="1">
      <alignment horizontal="justify" vertical="top" wrapText="1"/>
    </xf>
    <xf numFmtId="0" fontId="14" fillId="0" borderId="15" xfId="0" applyFont="1" applyBorder="1" applyAlignment="1">
      <alignment horizontal="justify" vertical="top" wrapText="1"/>
    </xf>
    <xf numFmtId="0" fontId="20" fillId="0" borderId="0" xfId="0" applyFont="1" applyAlignment="1">
      <alignment horizontal="justify"/>
    </xf>
    <xf numFmtId="0" fontId="2" fillId="0" borderId="0" xfId="0" applyFont="1" applyAlignment="1">
      <alignment horizontal="justify"/>
    </xf>
    <xf numFmtId="0" fontId="16" fillId="0" borderId="0" xfId="0" applyFont="1" applyBorder="1" applyAlignment="1">
      <alignment horizontal="center" vertical="center" wrapText="1"/>
    </xf>
    <xf numFmtId="3" fontId="16" fillId="0" borderId="0" xfId="0" applyNumberFormat="1" applyFont="1" applyBorder="1" applyAlignment="1">
      <alignment/>
    </xf>
    <xf numFmtId="3" fontId="17" fillId="0" borderId="0" xfId="0" applyNumberFormat="1" applyFont="1" applyBorder="1" applyAlignment="1">
      <alignment/>
    </xf>
    <xf numFmtId="0" fontId="16" fillId="0" borderId="16" xfId="24" applyFont="1" applyBorder="1" applyAlignment="1">
      <alignment horizontal="center"/>
      <protection/>
    </xf>
    <xf numFmtId="0" fontId="16" fillId="0" borderId="17" xfId="24" applyFont="1" applyBorder="1" applyAlignment="1">
      <alignment horizontal="center"/>
      <protection/>
    </xf>
    <xf numFmtId="0" fontId="17" fillId="0" borderId="18" xfId="24" applyFont="1" applyBorder="1">
      <alignment/>
      <protection/>
    </xf>
    <xf numFmtId="0" fontId="17" fillId="0" borderId="19" xfId="24" applyFont="1" applyBorder="1">
      <alignment/>
      <protection/>
    </xf>
    <xf numFmtId="0" fontId="17" fillId="0" borderId="20" xfId="24" applyFont="1" applyBorder="1">
      <alignment/>
      <protection/>
    </xf>
    <xf numFmtId="3" fontId="17" fillId="0" borderId="19" xfId="24" applyNumberFormat="1" applyFont="1" applyBorder="1">
      <alignment/>
      <protection/>
    </xf>
    <xf numFmtId="0" fontId="17" fillId="0" borderId="19" xfId="24" applyFont="1" applyBorder="1" applyAlignment="1">
      <alignment horizontal="left"/>
      <protection/>
    </xf>
    <xf numFmtId="3" fontId="17" fillId="0" borderId="21" xfId="24" applyNumberFormat="1" applyFont="1" applyBorder="1">
      <alignment/>
      <protection/>
    </xf>
    <xf numFmtId="0" fontId="17" fillId="0" borderId="19" xfId="0" applyFont="1" applyBorder="1" applyAlignment="1">
      <alignment/>
    </xf>
    <xf numFmtId="0" fontId="16" fillId="0" borderId="22" xfId="24" applyFont="1" applyBorder="1">
      <alignment/>
      <protection/>
    </xf>
    <xf numFmtId="3" fontId="16" fillId="0" borderId="22" xfId="24" applyNumberFormat="1" applyFont="1" applyBorder="1">
      <alignment/>
      <protection/>
    </xf>
    <xf numFmtId="0" fontId="17" fillId="0" borderId="0" xfId="24" applyFont="1" applyBorder="1">
      <alignment/>
      <protection/>
    </xf>
    <xf numFmtId="0" fontId="16" fillId="0" borderId="5" xfId="24" applyFont="1" applyBorder="1" applyAlignment="1">
      <alignment horizontal="centerContinuous"/>
      <protection/>
    </xf>
    <xf numFmtId="0" fontId="16" fillId="0" borderId="23" xfId="24" applyFont="1" applyBorder="1" applyAlignment="1">
      <alignment horizontal="centerContinuous"/>
      <protection/>
    </xf>
    <xf numFmtId="3" fontId="17" fillId="0" borderId="24" xfId="24" applyNumberFormat="1" applyFont="1" applyBorder="1">
      <alignment/>
      <protection/>
    </xf>
    <xf numFmtId="0" fontId="9" fillId="0" borderId="0" xfId="0" applyFont="1" applyAlignment="1">
      <alignment/>
    </xf>
    <xf numFmtId="0" fontId="24" fillId="0" borderId="0" xfId="0" applyFont="1" applyAlignment="1">
      <alignment/>
    </xf>
    <xf numFmtId="0" fontId="19" fillId="0" borderId="12" xfId="0" applyFont="1" applyBorder="1" applyAlignment="1">
      <alignment horizontal="left" vertical="center" wrapText="1"/>
    </xf>
    <xf numFmtId="165" fontId="9" fillId="0" borderId="0" xfId="0" applyNumberFormat="1" applyFont="1" applyAlignment="1">
      <alignment/>
    </xf>
    <xf numFmtId="0" fontId="0" fillId="0" borderId="0" xfId="0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4" fillId="0" borderId="9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3" fillId="0" borderId="1" xfId="0" applyFont="1" applyBorder="1" applyAlignment="1">
      <alignment/>
    </xf>
    <xf numFmtId="3" fontId="3" fillId="0" borderId="11" xfId="0" applyNumberFormat="1" applyFont="1" applyBorder="1" applyAlignment="1">
      <alignment/>
    </xf>
    <xf numFmtId="0" fontId="4" fillId="0" borderId="1" xfId="0" applyFont="1" applyBorder="1" applyAlignment="1">
      <alignment/>
    </xf>
    <xf numFmtId="3" fontId="4" fillId="0" borderId="11" xfId="0" applyNumberFormat="1" applyFont="1" applyBorder="1" applyAlignment="1">
      <alignment/>
    </xf>
    <xf numFmtId="0" fontId="4" fillId="0" borderId="1" xfId="0" applyFont="1" applyBorder="1" applyAlignment="1">
      <alignment shrinkToFit="1"/>
    </xf>
    <xf numFmtId="0" fontId="4" fillId="0" borderId="7" xfId="0" applyFont="1" applyBorder="1" applyAlignment="1">
      <alignment shrinkToFit="1"/>
    </xf>
    <xf numFmtId="3" fontId="4" fillId="0" borderId="14" xfId="0" applyNumberFormat="1" applyFont="1" applyBorder="1" applyAlignment="1">
      <alignment/>
    </xf>
    <xf numFmtId="0" fontId="3" fillId="0" borderId="1" xfId="0" applyFont="1" applyBorder="1" applyAlignment="1">
      <alignment vertical="top" wrapText="1"/>
    </xf>
    <xf numFmtId="0" fontId="29" fillId="0" borderId="1" xfId="0" applyFont="1" applyBorder="1" applyAlignment="1">
      <alignment vertical="top" wrapText="1"/>
    </xf>
    <xf numFmtId="0" fontId="29" fillId="0" borderId="7" xfId="0" applyFont="1" applyBorder="1" applyAlignment="1">
      <alignment/>
    </xf>
    <xf numFmtId="3" fontId="4" fillId="0" borderId="25" xfId="0" applyNumberFormat="1" applyFont="1" applyBorder="1" applyAlignment="1">
      <alignment wrapText="1"/>
    </xf>
    <xf numFmtId="3" fontId="4" fillId="0" borderId="26" xfId="0" applyNumberFormat="1" applyFont="1" applyBorder="1" applyAlignment="1">
      <alignment/>
    </xf>
    <xf numFmtId="0" fontId="30" fillId="0" borderId="0" xfId="0" applyFont="1" applyAlignment="1">
      <alignment/>
    </xf>
    <xf numFmtId="0" fontId="11" fillId="0" borderId="0" xfId="0" applyFont="1" applyAlignment="1">
      <alignment/>
    </xf>
    <xf numFmtId="0" fontId="31" fillId="0" borderId="12" xfId="0" applyFont="1" applyBorder="1" applyAlignment="1">
      <alignment horizontal="justify" vertical="top" wrapText="1"/>
    </xf>
    <xf numFmtId="0" fontId="31" fillId="0" borderId="0" xfId="0" applyFont="1" applyAlignment="1">
      <alignment/>
    </xf>
    <xf numFmtId="3" fontId="31" fillId="0" borderId="27" xfId="0" applyNumberFormat="1" applyFont="1" applyBorder="1" applyAlignment="1">
      <alignment/>
    </xf>
    <xf numFmtId="0" fontId="3" fillId="0" borderId="28" xfId="0" applyFont="1" applyBorder="1" applyAlignment="1">
      <alignment/>
    </xf>
    <xf numFmtId="0" fontId="9" fillId="0" borderId="0" xfId="0" applyFont="1" applyAlignment="1">
      <alignment/>
    </xf>
    <xf numFmtId="0" fontId="14" fillId="0" borderId="0" xfId="0" applyFont="1" applyAlignment="1">
      <alignment/>
    </xf>
    <xf numFmtId="0" fontId="9" fillId="0" borderId="1" xfId="0" applyFont="1" applyBorder="1" applyAlignment="1">
      <alignment/>
    </xf>
    <xf numFmtId="0" fontId="14" fillId="0" borderId="29" xfId="0" applyFont="1" applyBorder="1" applyAlignment="1">
      <alignment horizontal="center"/>
    </xf>
    <xf numFmtId="0" fontId="9" fillId="0" borderId="0" xfId="0" applyFont="1" applyBorder="1" applyAlignment="1">
      <alignment/>
    </xf>
    <xf numFmtId="3" fontId="3" fillId="0" borderId="26" xfId="0" applyNumberFormat="1" applyFont="1" applyBorder="1" applyAlignment="1">
      <alignment/>
    </xf>
    <xf numFmtId="0" fontId="4" fillId="0" borderId="7" xfId="0" applyFont="1" applyBorder="1" applyAlignment="1">
      <alignment wrapText="1"/>
    </xf>
    <xf numFmtId="0" fontId="0" fillId="0" borderId="0" xfId="0" applyBorder="1" applyAlignment="1">
      <alignment/>
    </xf>
    <xf numFmtId="3" fontId="16" fillId="0" borderId="0" xfId="0" applyNumberFormat="1" applyFont="1" applyBorder="1" applyAlignment="1">
      <alignment/>
    </xf>
    <xf numFmtId="3" fontId="17" fillId="0" borderId="0" xfId="0" applyNumberFormat="1" applyFont="1" applyBorder="1" applyAlignment="1">
      <alignment/>
    </xf>
    <xf numFmtId="3" fontId="23" fillId="0" borderId="0" xfId="0" applyNumberFormat="1" applyFont="1" applyBorder="1" applyAlignment="1">
      <alignment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/>
    </xf>
    <xf numFmtId="0" fontId="4" fillId="0" borderId="7" xfId="0" applyFont="1" applyBorder="1" applyAlignment="1">
      <alignment/>
    </xf>
    <xf numFmtId="3" fontId="4" fillId="0" borderId="0" xfId="0" applyNumberFormat="1" applyFont="1" applyAlignment="1">
      <alignment/>
    </xf>
    <xf numFmtId="0" fontId="17" fillId="0" borderId="19" xfId="0" applyFont="1" applyBorder="1" applyAlignment="1">
      <alignment shrinkToFit="1"/>
    </xf>
    <xf numFmtId="0" fontId="3" fillId="0" borderId="14" xfId="0" applyFont="1" applyBorder="1" applyAlignment="1">
      <alignment/>
    </xf>
    <xf numFmtId="3" fontId="4" fillId="0" borderId="14" xfId="0" applyNumberFormat="1" applyFont="1" applyBorder="1" applyAlignment="1">
      <alignment/>
    </xf>
    <xf numFmtId="0" fontId="3" fillId="0" borderId="1" xfId="0" applyFont="1" applyBorder="1" applyAlignment="1">
      <alignment horizontal="left" vertical="center" wrapText="1"/>
    </xf>
    <xf numFmtId="0" fontId="3" fillId="0" borderId="11" xfId="0" applyFont="1" applyBorder="1" applyAlignment="1">
      <alignment/>
    </xf>
    <xf numFmtId="0" fontId="9" fillId="0" borderId="34" xfId="0" applyFont="1" applyBorder="1" applyAlignment="1">
      <alignment/>
    </xf>
    <xf numFmtId="0" fontId="14" fillId="0" borderId="34" xfId="0" applyFont="1" applyBorder="1" applyAlignment="1">
      <alignment/>
    </xf>
    <xf numFmtId="0" fontId="4" fillId="0" borderId="26" xfId="0" applyFont="1" applyBorder="1" applyAlignment="1">
      <alignment horizontal="center" vertical="center" wrapText="1"/>
    </xf>
    <xf numFmtId="3" fontId="4" fillId="0" borderId="26" xfId="0" applyNumberFormat="1" applyFont="1" applyBorder="1" applyAlignment="1">
      <alignment horizontal="center" wrapText="1"/>
    </xf>
    <xf numFmtId="3" fontId="4" fillId="0" borderId="26" xfId="0" applyNumberFormat="1" applyFont="1" applyBorder="1" applyAlignment="1">
      <alignment/>
    </xf>
    <xf numFmtId="3" fontId="29" fillId="0" borderId="26" xfId="0" applyNumberFormat="1" applyFont="1" applyBorder="1" applyAlignment="1">
      <alignment/>
    </xf>
    <xf numFmtId="3" fontId="31" fillId="0" borderId="35" xfId="0" applyNumberFormat="1" applyFont="1" applyBorder="1" applyAlignment="1">
      <alignment/>
    </xf>
    <xf numFmtId="0" fontId="9" fillId="0" borderId="0" xfId="0" applyFont="1" applyAlignment="1">
      <alignment horizontal="center"/>
    </xf>
    <xf numFmtId="0" fontId="14" fillId="0" borderId="36" xfId="0" applyFont="1" applyBorder="1" applyAlignment="1">
      <alignment horizontal="center" vertical="center" wrapText="1"/>
    </xf>
    <xf numFmtId="0" fontId="4" fillId="0" borderId="11" xfId="0" applyFont="1" applyBorder="1" applyAlignment="1">
      <alignment/>
    </xf>
    <xf numFmtId="3" fontId="3" fillId="0" borderId="26" xfId="0" applyNumberFormat="1" applyFont="1" applyBorder="1" applyAlignment="1">
      <alignment/>
    </xf>
    <xf numFmtId="0" fontId="27" fillId="0" borderId="11" xfId="0" applyFont="1" applyBorder="1" applyAlignment="1">
      <alignment/>
    </xf>
    <xf numFmtId="0" fontId="14" fillId="0" borderId="29" xfId="0" applyFont="1" applyBorder="1" applyAlignment="1">
      <alignment horizontal="center" vertical="center"/>
    </xf>
    <xf numFmtId="0" fontId="14" fillId="0" borderId="37" xfId="0" applyFont="1" applyBorder="1" applyAlignment="1">
      <alignment horizontal="center" vertical="center" wrapText="1"/>
    </xf>
    <xf numFmtId="3" fontId="4" fillId="0" borderId="27" xfId="0" applyNumberFormat="1" applyFont="1" applyBorder="1" applyAlignment="1">
      <alignment/>
    </xf>
    <xf numFmtId="0" fontId="14" fillId="0" borderId="29" xfId="0" applyFont="1" applyBorder="1" applyAlignment="1">
      <alignment horizontal="center" vertical="center" wrapText="1"/>
    </xf>
    <xf numFmtId="0" fontId="14" fillId="0" borderId="38" xfId="0" applyFont="1" applyBorder="1" applyAlignment="1">
      <alignment horizontal="center" vertical="center" wrapText="1"/>
    </xf>
    <xf numFmtId="2" fontId="9" fillId="0" borderId="38" xfId="0" applyNumberFormat="1" applyFont="1" applyBorder="1" applyAlignment="1">
      <alignment horizontal="center" vertical="top" wrapText="1"/>
    </xf>
    <xf numFmtId="2" fontId="9" fillId="0" borderId="26" xfId="0" applyNumberFormat="1" applyFont="1" applyBorder="1" applyAlignment="1">
      <alignment horizontal="center" vertical="top" wrapText="1"/>
    </xf>
    <xf numFmtId="2" fontId="19" fillId="0" borderId="38" xfId="0" applyNumberFormat="1" applyFont="1" applyBorder="1" applyAlignment="1">
      <alignment horizontal="center" vertical="top" wrapText="1"/>
    </xf>
    <xf numFmtId="2" fontId="19" fillId="0" borderId="39" xfId="0" applyNumberFormat="1" applyFont="1" applyBorder="1" applyAlignment="1">
      <alignment horizontal="center" vertical="top" wrapText="1"/>
    </xf>
    <xf numFmtId="2" fontId="14" fillId="0" borderId="38" xfId="0" applyNumberFormat="1" applyFont="1" applyBorder="1" applyAlignment="1">
      <alignment horizontal="center" vertical="top" wrapText="1"/>
    </xf>
    <xf numFmtId="2" fontId="9" fillId="0" borderId="39" xfId="0" applyNumberFormat="1" applyFont="1" applyBorder="1" applyAlignment="1">
      <alignment horizontal="center" vertical="top" wrapText="1"/>
    </xf>
    <xf numFmtId="2" fontId="31" fillId="0" borderId="38" xfId="0" applyNumberFormat="1" applyFont="1" applyBorder="1" applyAlignment="1">
      <alignment horizontal="center" vertical="top" wrapText="1"/>
    </xf>
    <xf numFmtId="2" fontId="14" fillId="0" borderId="40" xfId="0" applyNumberFormat="1" applyFont="1" applyBorder="1" applyAlignment="1">
      <alignment horizontal="center" vertical="top" wrapText="1"/>
    </xf>
    <xf numFmtId="0" fontId="4" fillId="0" borderId="36" xfId="0" applyFont="1" applyBorder="1" applyAlignment="1">
      <alignment horizontal="center" vertical="center"/>
    </xf>
    <xf numFmtId="3" fontId="4" fillId="0" borderId="29" xfId="0" applyNumberFormat="1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right" vertical="center"/>
    </xf>
    <xf numFmtId="3" fontId="3" fillId="0" borderId="26" xfId="0" applyNumberFormat="1" applyFont="1" applyBorder="1" applyAlignment="1">
      <alignment horizontal="right"/>
    </xf>
    <xf numFmtId="3" fontId="3" fillId="0" borderId="10" xfId="0" applyNumberFormat="1" applyFont="1" applyBorder="1" applyAlignment="1">
      <alignment horizontal="right"/>
    </xf>
    <xf numFmtId="3" fontId="4" fillId="0" borderId="10" xfId="0" applyNumberFormat="1" applyFont="1" applyBorder="1" applyAlignment="1">
      <alignment horizontal="right"/>
    </xf>
    <xf numFmtId="3" fontId="4" fillId="0" borderId="26" xfId="0" applyNumberFormat="1" applyFont="1" applyBorder="1" applyAlignment="1">
      <alignment horizontal="right"/>
    </xf>
    <xf numFmtId="3" fontId="29" fillId="0" borderId="10" xfId="0" applyNumberFormat="1" applyFont="1" applyBorder="1" applyAlignment="1">
      <alignment horizontal="right"/>
    </xf>
    <xf numFmtId="3" fontId="29" fillId="0" borderId="41" xfId="0" applyNumberFormat="1" applyFont="1" applyBorder="1" applyAlignment="1">
      <alignment horizontal="right"/>
    </xf>
    <xf numFmtId="3" fontId="29" fillId="0" borderId="27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4" fillId="0" borderId="0" xfId="24" applyFont="1" applyAlignment="1">
      <alignment horizontal="left"/>
      <protection/>
    </xf>
    <xf numFmtId="0" fontId="14" fillId="0" borderId="42" xfId="0" applyFont="1" applyBorder="1" applyAlignment="1">
      <alignment horizontal="center"/>
    </xf>
    <xf numFmtId="3" fontId="9" fillId="0" borderId="35" xfId="0" applyNumberFormat="1" applyFont="1" applyBorder="1" applyAlignment="1">
      <alignment/>
    </xf>
    <xf numFmtId="0" fontId="9" fillId="0" borderId="35" xfId="0" applyFont="1" applyBorder="1" applyAlignment="1">
      <alignment/>
    </xf>
    <xf numFmtId="3" fontId="14" fillId="0" borderId="35" xfId="0" applyNumberFormat="1" applyFont="1" applyBorder="1" applyAlignment="1">
      <alignment/>
    </xf>
    <xf numFmtId="3" fontId="3" fillId="0" borderId="43" xfId="0" applyNumberFormat="1" applyFont="1" applyBorder="1" applyAlignment="1">
      <alignment/>
    </xf>
    <xf numFmtId="0" fontId="14" fillId="0" borderId="0" xfId="0" applyFont="1" applyBorder="1" applyAlignment="1">
      <alignment/>
    </xf>
    <xf numFmtId="3" fontId="14" fillId="0" borderId="0" xfId="0" applyNumberFormat="1" applyFont="1" applyBorder="1" applyAlignment="1">
      <alignment/>
    </xf>
    <xf numFmtId="0" fontId="31" fillId="0" borderId="0" xfId="0" applyFont="1" applyBorder="1" applyAlignment="1">
      <alignment/>
    </xf>
    <xf numFmtId="3" fontId="31" fillId="0" borderId="0" xfId="0" applyNumberFormat="1" applyFont="1" applyBorder="1" applyAlignment="1">
      <alignment/>
    </xf>
    <xf numFmtId="0" fontId="32" fillId="0" borderId="34" xfId="0" applyFont="1" applyBorder="1" applyAlignment="1">
      <alignment horizontal="left" vertical="center"/>
    </xf>
    <xf numFmtId="0" fontId="14" fillId="0" borderId="35" xfId="0" applyFont="1" applyBorder="1" applyAlignment="1">
      <alignment horizontal="center" vertical="center" wrapText="1"/>
    </xf>
    <xf numFmtId="0" fontId="19" fillId="0" borderId="0" xfId="0" applyFont="1" applyAlignment="1">
      <alignment/>
    </xf>
    <xf numFmtId="0" fontId="14" fillId="0" borderId="44" xfId="0" applyFont="1" applyBorder="1" applyAlignment="1">
      <alignment/>
    </xf>
    <xf numFmtId="3" fontId="14" fillId="0" borderId="45" xfId="0" applyNumberFormat="1" applyFont="1" applyBorder="1" applyAlignment="1">
      <alignment/>
    </xf>
    <xf numFmtId="0" fontId="9" fillId="0" borderId="46" xfId="0" applyFont="1" applyBorder="1" applyAlignment="1">
      <alignment/>
    </xf>
    <xf numFmtId="0" fontId="9" fillId="0" borderId="47" xfId="0" applyFont="1" applyBorder="1" applyAlignment="1">
      <alignment/>
    </xf>
    <xf numFmtId="0" fontId="32" fillId="0" borderId="48" xfId="0" applyFont="1" applyBorder="1" applyAlignment="1">
      <alignment horizontal="left" vertical="center"/>
    </xf>
    <xf numFmtId="0" fontId="14" fillId="0" borderId="49" xfId="0" applyFont="1" applyBorder="1" applyAlignment="1">
      <alignment horizontal="center" vertical="center" wrapText="1"/>
    </xf>
    <xf numFmtId="3" fontId="14" fillId="0" borderId="35" xfId="0" applyNumberFormat="1" applyFont="1" applyBorder="1" applyAlignment="1">
      <alignment horizontal="center" vertical="center" wrapText="1"/>
    </xf>
    <xf numFmtId="0" fontId="31" fillId="0" borderId="34" xfId="0" applyFont="1" applyBorder="1" applyAlignment="1">
      <alignment horizontal="left" vertical="center"/>
    </xf>
    <xf numFmtId="3" fontId="31" fillId="0" borderId="35" xfId="0" applyNumberFormat="1" applyFont="1" applyBorder="1" applyAlignment="1">
      <alignment horizontal="right" vertic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4" fillId="0" borderId="26" xfId="0" applyNumberFormat="1" applyFont="1" applyBorder="1" applyAlignment="1">
      <alignment/>
    </xf>
    <xf numFmtId="0" fontId="2" fillId="0" borderId="0" xfId="0" applyFont="1" applyAlignment="1">
      <alignment/>
    </xf>
    <xf numFmtId="0" fontId="9" fillId="0" borderId="0" xfId="0" applyFont="1" applyAlignment="1">
      <alignment/>
    </xf>
    <xf numFmtId="0" fontId="28" fillId="0" borderId="0" xfId="0" applyFont="1" applyAlignment="1">
      <alignment/>
    </xf>
    <xf numFmtId="0" fontId="15" fillId="2" borderId="3" xfId="0" applyFont="1" applyFill="1" applyBorder="1" applyAlignment="1">
      <alignment horizontal="center" vertical="top"/>
    </xf>
    <xf numFmtId="0" fontId="15" fillId="2" borderId="3" xfId="0" applyFont="1" applyFill="1" applyBorder="1" applyAlignment="1">
      <alignment horizontal="center" vertical="top" wrapText="1"/>
    </xf>
    <xf numFmtId="0" fontId="24" fillId="0" borderId="1" xfId="0" applyFont="1" applyBorder="1" applyAlignment="1">
      <alignment wrapText="1"/>
    </xf>
    <xf numFmtId="0" fontId="24" fillId="0" borderId="11" xfId="0" applyFont="1" applyBorder="1" applyAlignment="1">
      <alignment/>
    </xf>
    <xf numFmtId="0" fontId="24" fillId="0" borderId="11" xfId="0" applyFont="1" applyBorder="1" applyAlignment="1">
      <alignment horizontal="center"/>
    </xf>
    <xf numFmtId="3" fontId="24" fillId="0" borderId="11" xfId="0" applyNumberFormat="1" applyFont="1" applyBorder="1" applyAlignment="1">
      <alignment horizontal="right"/>
    </xf>
    <xf numFmtId="1" fontId="24" fillId="0" borderId="11" xfId="0" applyNumberFormat="1" applyFont="1" applyBorder="1" applyAlignment="1">
      <alignment horizontal="center"/>
    </xf>
    <xf numFmtId="3" fontId="24" fillId="0" borderId="10" xfId="0" applyNumberFormat="1" applyFont="1" applyBorder="1" applyAlignment="1">
      <alignment/>
    </xf>
    <xf numFmtId="3" fontId="24" fillId="3" borderId="26" xfId="0" applyNumberFormat="1" applyFont="1" applyFill="1" applyBorder="1" applyAlignment="1">
      <alignment horizontal="right"/>
    </xf>
    <xf numFmtId="0" fontId="24" fillId="0" borderId="11" xfId="0" applyFont="1" applyBorder="1" applyAlignment="1">
      <alignment vertical="center"/>
    </xf>
    <xf numFmtId="0" fontId="24" fillId="0" borderId="11" xfId="0" applyFont="1" applyBorder="1" applyAlignment="1">
      <alignment horizontal="center" vertical="center"/>
    </xf>
    <xf numFmtId="3" fontId="24" fillId="0" borderId="11" xfId="0" applyNumberFormat="1" applyFont="1" applyBorder="1" applyAlignment="1">
      <alignment horizontal="right" vertical="center"/>
    </xf>
    <xf numFmtId="1" fontId="24" fillId="0" borderId="11" xfId="0" applyNumberFormat="1" applyFont="1" applyBorder="1" applyAlignment="1">
      <alignment horizontal="center" vertical="center"/>
    </xf>
    <xf numFmtId="3" fontId="24" fillId="0" borderId="50" xfId="0" applyNumberFormat="1" applyFont="1" applyBorder="1" applyAlignment="1">
      <alignment/>
    </xf>
    <xf numFmtId="0" fontId="24" fillId="0" borderId="1" xfId="0" applyFont="1" applyBorder="1" applyAlignment="1">
      <alignment/>
    </xf>
    <xf numFmtId="0" fontId="24" fillId="0" borderId="3" xfId="0" applyFont="1" applyBorder="1" applyAlignment="1">
      <alignment/>
    </xf>
    <xf numFmtId="0" fontId="24" fillId="0" borderId="25" xfId="0" applyFont="1" applyBorder="1" applyAlignment="1">
      <alignment horizontal="center"/>
    </xf>
    <xf numFmtId="3" fontId="24" fillId="0" borderId="25" xfId="0" applyNumberFormat="1" applyFont="1" applyBorder="1" applyAlignment="1">
      <alignment horizontal="right"/>
    </xf>
    <xf numFmtId="1" fontId="24" fillId="0" borderId="25" xfId="0" applyNumberFormat="1" applyFont="1" applyBorder="1" applyAlignment="1">
      <alignment horizontal="center"/>
    </xf>
    <xf numFmtId="0" fontId="24" fillId="0" borderId="13" xfId="0" applyFont="1" applyBorder="1" applyAlignment="1">
      <alignment vertical="center" wrapText="1"/>
    </xf>
    <xf numFmtId="0" fontId="24" fillId="0" borderId="25" xfId="0" applyFont="1" applyBorder="1" applyAlignment="1">
      <alignment vertical="center" wrapText="1"/>
    </xf>
    <xf numFmtId="0" fontId="24" fillId="0" borderId="1" xfId="0" applyFont="1" applyBorder="1" applyAlignment="1">
      <alignment vertical="center" wrapText="1"/>
    </xf>
    <xf numFmtId="0" fontId="24" fillId="0" borderId="11" xfId="0" applyFont="1" applyBorder="1" applyAlignment="1">
      <alignment vertical="center" wrapText="1"/>
    </xf>
    <xf numFmtId="3" fontId="24" fillId="0" borderId="11" xfId="0" applyNumberFormat="1" applyFont="1" applyBorder="1" applyAlignment="1">
      <alignment/>
    </xf>
    <xf numFmtId="0" fontId="15" fillId="0" borderId="15" xfId="0" applyFont="1" applyBorder="1" applyAlignment="1">
      <alignment/>
    </xf>
    <xf numFmtId="0" fontId="15" fillId="0" borderId="51" xfId="0" applyFont="1" applyBorder="1" applyAlignment="1">
      <alignment/>
    </xf>
    <xf numFmtId="0" fontId="24" fillId="0" borderId="51" xfId="0" applyFont="1" applyBorder="1" applyAlignment="1">
      <alignment horizontal="center"/>
    </xf>
    <xf numFmtId="3" fontId="24" fillId="0" borderId="51" xfId="0" applyNumberFormat="1" applyFont="1" applyBorder="1" applyAlignment="1">
      <alignment horizontal="center"/>
    </xf>
    <xf numFmtId="3" fontId="15" fillId="0" borderId="52" xfId="0" applyNumberFormat="1" applyFont="1" applyBorder="1" applyAlignment="1">
      <alignment/>
    </xf>
    <xf numFmtId="3" fontId="15" fillId="3" borderId="40" xfId="0" applyNumberFormat="1" applyFont="1" applyFill="1" applyBorder="1" applyAlignment="1">
      <alignment horizontal="right"/>
    </xf>
    <xf numFmtId="0" fontId="11" fillId="0" borderId="0" xfId="0" applyFont="1" applyAlignment="1">
      <alignment horizontal="center"/>
    </xf>
    <xf numFmtId="3" fontId="3" fillId="0" borderId="53" xfId="0" applyNumberFormat="1" applyFont="1" applyBorder="1" applyAlignment="1">
      <alignment horizontal="right"/>
    </xf>
    <xf numFmtId="3" fontId="3" fillId="0" borderId="54" xfId="15" applyNumberFormat="1" applyFont="1" applyBorder="1" applyAlignment="1">
      <alignment horizontal="right"/>
    </xf>
    <xf numFmtId="0" fontId="0" fillId="0" borderId="0" xfId="0" applyBorder="1" applyAlignment="1">
      <alignment/>
    </xf>
    <xf numFmtId="3" fontId="3" fillId="0" borderId="6" xfId="0" applyNumberFormat="1" applyFont="1" applyBorder="1" applyAlignment="1">
      <alignment horizontal="right"/>
    </xf>
    <xf numFmtId="3" fontId="4" fillId="0" borderId="39" xfId="0" applyNumberFormat="1" applyFont="1" applyBorder="1" applyAlignment="1">
      <alignment horizontal="right"/>
    </xf>
    <xf numFmtId="3" fontId="4" fillId="0" borderId="43" xfId="0" applyNumberFormat="1" applyFont="1" applyBorder="1" applyAlignment="1">
      <alignment horizontal="right"/>
    </xf>
    <xf numFmtId="3" fontId="3" fillId="0" borderId="54" xfId="0" applyNumberFormat="1" applyFont="1" applyBorder="1" applyAlignment="1">
      <alignment horizontal="right"/>
    </xf>
    <xf numFmtId="3" fontId="3" fillId="0" borderId="28" xfId="0" applyNumberFormat="1" applyFont="1" applyBorder="1" applyAlignment="1">
      <alignment horizontal="right"/>
    </xf>
    <xf numFmtId="3" fontId="3" fillId="0" borderId="11" xfId="0" applyNumberFormat="1" applyFont="1" applyBorder="1" applyAlignment="1">
      <alignment horizontal="right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3" fontId="3" fillId="0" borderId="56" xfId="0" applyNumberFormat="1" applyFont="1" applyBorder="1" applyAlignment="1">
      <alignment horizontal="right"/>
    </xf>
    <xf numFmtId="3" fontId="3" fillId="0" borderId="57" xfId="0" applyNumberFormat="1" applyFont="1" applyBorder="1" applyAlignment="1">
      <alignment horizontal="right"/>
    </xf>
    <xf numFmtId="3" fontId="3" fillId="0" borderId="58" xfId="0" applyNumberFormat="1" applyFont="1" applyBorder="1" applyAlignment="1">
      <alignment horizontal="right"/>
    </xf>
    <xf numFmtId="3" fontId="3" fillId="0" borderId="59" xfId="0" applyNumberFormat="1" applyFont="1" applyBorder="1" applyAlignment="1">
      <alignment horizontal="right"/>
    </xf>
    <xf numFmtId="3" fontId="3" fillId="0" borderId="60" xfId="0" applyNumberFormat="1" applyFont="1" applyBorder="1" applyAlignment="1">
      <alignment horizontal="right"/>
    </xf>
    <xf numFmtId="3" fontId="3" fillId="0" borderId="61" xfId="0" applyNumberFormat="1" applyFont="1" applyBorder="1" applyAlignment="1">
      <alignment horizontal="right"/>
    </xf>
    <xf numFmtId="3" fontId="3" fillId="0" borderId="62" xfId="0" applyNumberFormat="1" applyFont="1" applyBorder="1" applyAlignment="1">
      <alignment horizontal="right"/>
    </xf>
    <xf numFmtId="3" fontId="3" fillId="0" borderId="63" xfId="0" applyNumberFormat="1" applyFont="1" applyBorder="1" applyAlignment="1">
      <alignment horizontal="right"/>
    </xf>
    <xf numFmtId="3" fontId="3" fillId="0" borderId="25" xfId="0" applyNumberFormat="1" applyFont="1" applyBorder="1" applyAlignment="1">
      <alignment horizontal="right"/>
    </xf>
    <xf numFmtId="3" fontId="3" fillId="0" borderId="8" xfId="0" applyNumberFormat="1" applyFont="1" applyBorder="1" applyAlignment="1">
      <alignment horizontal="right"/>
    </xf>
    <xf numFmtId="3" fontId="3" fillId="0" borderId="50" xfId="0" applyNumberFormat="1" applyFont="1" applyBorder="1" applyAlignment="1">
      <alignment horizontal="right"/>
    </xf>
    <xf numFmtId="0" fontId="3" fillId="0" borderId="64" xfId="0" applyFont="1" applyBorder="1" applyAlignment="1" quotePrefix="1">
      <alignment horizontal="left"/>
    </xf>
    <xf numFmtId="3" fontId="3" fillId="0" borderId="58" xfId="0" applyNumberFormat="1" applyFont="1" applyBorder="1" applyAlignment="1" quotePrefix="1">
      <alignment horizontal="right"/>
    </xf>
    <xf numFmtId="0" fontId="3" fillId="0" borderId="33" xfId="0" applyFont="1" applyBorder="1" applyAlignment="1" quotePrefix="1">
      <alignment horizontal="left"/>
    </xf>
    <xf numFmtId="0" fontId="3" fillId="0" borderId="59" xfId="0" applyFont="1" applyBorder="1" applyAlignment="1">
      <alignment/>
    </xf>
    <xf numFmtId="3" fontId="3" fillId="0" borderId="65" xfId="0" applyNumberFormat="1" applyFont="1" applyBorder="1" applyAlignment="1" quotePrefix="1">
      <alignment horizontal="right"/>
    </xf>
    <xf numFmtId="3" fontId="3" fillId="0" borderId="66" xfId="0" applyNumberFormat="1" applyFont="1" applyBorder="1" applyAlignment="1">
      <alignment horizontal="right"/>
    </xf>
    <xf numFmtId="3" fontId="3" fillId="0" borderId="67" xfId="0" applyNumberFormat="1" applyFont="1" applyBorder="1" applyAlignment="1">
      <alignment horizontal="right"/>
    </xf>
    <xf numFmtId="3" fontId="3" fillId="0" borderId="68" xfId="0" applyNumberFormat="1" applyFont="1" applyBorder="1" applyAlignment="1">
      <alignment horizontal="right"/>
    </xf>
    <xf numFmtId="0" fontId="3" fillId="0" borderId="55" xfId="0" applyFont="1" applyBorder="1" applyAlignment="1" quotePrefix="1">
      <alignment horizontal="left"/>
    </xf>
    <xf numFmtId="3" fontId="3" fillId="0" borderId="69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3" fontId="3" fillId="0" borderId="70" xfId="0" applyNumberFormat="1" applyFont="1" applyBorder="1" applyAlignment="1">
      <alignment horizontal="right"/>
    </xf>
    <xf numFmtId="0" fontId="3" fillId="0" borderId="71" xfId="0" applyFont="1" applyBorder="1" applyAlignment="1" quotePrefix="1">
      <alignment horizontal="left"/>
    </xf>
    <xf numFmtId="3" fontId="3" fillId="0" borderId="53" xfId="0" applyNumberFormat="1" applyFont="1" applyBorder="1" applyAlignment="1" quotePrefix="1">
      <alignment horizontal="right"/>
    </xf>
    <xf numFmtId="3" fontId="3" fillId="0" borderId="72" xfId="0" applyNumberFormat="1" applyFont="1" applyBorder="1" applyAlignment="1">
      <alignment horizontal="right"/>
    </xf>
    <xf numFmtId="3" fontId="3" fillId="0" borderId="73" xfId="0" applyNumberFormat="1" applyFont="1" applyBorder="1" applyAlignment="1">
      <alignment horizontal="right"/>
    </xf>
    <xf numFmtId="0" fontId="3" fillId="0" borderId="74" xfId="0" applyFont="1" applyBorder="1" applyAlignment="1" quotePrefix="1">
      <alignment horizontal="left"/>
    </xf>
    <xf numFmtId="0" fontId="3" fillId="0" borderId="61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3" fontId="3" fillId="0" borderId="31" xfId="0" applyNumberFormat="1" applyFont="1" applyBorder="1" applyAlignment="1">
      <alignment horizontal="right"/>
    </xf>
    <xf numFmtId="0" fontId="3" fillId="0" borderId="14" xfId="0" applyFont="1" applyBorder="1" applyAlignment="1">
      <alignment/>
    </xf>
    <xf numFmtId="0" fontId="7" fillId="0" borderId="0" xfId="0" applyFont="1" applyAlignment="1">
      <alignment/>
    </xf>
    <xf numFmtId="0" fontId="4" fillId="0" borderId="9" xfId="0" applyFont="1" applyBorder="1" applyAlignment="1">
      <alignment horizontal="left"/>
    </xf>
    <xf numFmtId="0" fontId="0" fillId="0" borderId="29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3" fontId="3" fillId="0" borderId="38" xfId="0" applyNumberFormat="1" applyFont="1" applyBorder="1" applyAlignment="1">
      <alignment/>
    </xf>
    <xf numFmtId="3" fontId="4" fillId="0" borderId="43" xfId="0" applyNumberFormat="1" applyFont="1" applyBorder="1" applyAlignment="1">
      <alignment/>
    </xf>
    <xf numFmtId="0" fontId="9" fillId="0" borderId="1" xfId="0" applyFont="1" applyBorder="1" applyAlignment="1">
      <alignment/>
    </xf>
    <xf numFmtId="0" fontId="33" fillId="0" borderId="0" xfId="22">
      <alignment/>
      <protection/>
    </xf>
    <xf numFmtId="0" fontId="38" fillId="0" borderId="0" xfId="22" applyFont="1">
      <alignment/>
      <protection/>
    </xf>
    <xf numFmtId="0" fontId="33" fillId="0" borderId="0" xfId="22" applyBorder="1">
      <alignment/>
      <protection/>
    </xf>
    <xf numFmtId="0" fontId="38" fillId="0" borderId="0" xfId="22" applyFont="1" applyBorder="1">
      <alignment/>
      <protection/>
    </xf>
    <xf numFmtId="0" fontId="33" fillId="0" borderId="0" xfId="22" applyFont="1" applyBorder="1">
      <alignment/>
      <protection/>
    </xf>
    <xf numFmtId="0" fontId="33" fillId="0" borderId="0" xfId="22" applyFont="1">
      <alignment/>
      <protection/>
    </xf>
    <xf numFmtId="0" fontId="2" fillId="0" borderId="0" xfId="22" applyFont="1">
      <alignment/>
      <protection/>
    </xf>
    <xf numFmtId="0" fontId="28" fillId="0" borderId="0" xfId="22" applyFont="1">
      <alignment/>
      <protection/>
    </xf>
    <xf numFmtId="0" fontId="28" fillId="0" borderId="75" xfId="22" applyFont="1" applyBorder="1" applyAlignment="1">
      <alignment horizontal="center" vertical="center"/>
      <protection/>
    </xf>
    <xf numFmtId="0" fontId="2" fillId="0" borderId="76" xfId="22" applyFont="1" applyBorder="1">
      <alignment/>
      <protection/>
    </xf>
    <xf numFmtId="0" fontId="28" fillId="0" borderId="35" xfId="22" applyFont="1" applyBorder="1">
      <alignment/>
      <protection/>
    </xf>
    <xf numFmtId="0" fontId="2" fillId="0" borderId="35" xfId="22" applyFont="1" applyBorder="1">
      <alignment/>
      <protection/>
    </xf>
    <xf numFmtId="0" fontId="28" fillId="0" borderId="45" xfId="22" applyFont="1" applyBorder="1">
      <alignment/>
      <protection/>
    </xf>
    <xf numFmtId="0" fontId="2" fillId="0" borderId="0" xfId="22" applyFont="1" applyBorder="1">
      <alignment/>
      <protection/>
    </xf>
    <xf numFmtId="0" fontId="14" fillId="0" borderId="7" xfId="0" applyFont="1" applyBorder="1" applyAlignment="1">
      <alignment/>
    </xf>
    <xf numFmtId="0" fontId="14" fillId="0" borderId="9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43" xfId="0" applyFont="1" applyBorder="1" applyAlignment="1">
      <alignment horizontal="center"/>
    </xf>
    <xf numFmtId="0" fontId="14" fillId="0" borderId="77" xfId="0" applyFont="1" applyBorder="1" applyAlignment="1">
      <alignment horizontal="center"/>
    </xf>
    <xf numFmtId="3" fontId="4" fillId="0" borderId="78" xfId="0" applyNumberFormat="1" applyFont="1" applyBorder="1" applyAlignment="1">
      <alignment horizontal="right"/>
    </xf>
    <xf numFmtId="0" fontId="15" fillId="0" borderId="0" xfId="0" applyFont="1" applyBorder="1" applyAlignment="1">
      <alignment/>
    </xf>
    <xf numFmtId="0" fontId="24" fillId="0" borderId="0" xfId="0" applyFont="1" applyBorder="1" applyAlignment="1">
      <alignment horizontal="center"/>
    </xf>
    <xf numFmtId="3" fontId="24" fillId="0" borderId="0" xfId="0" applyNumberFormat="1" applyFont="1" applyBorder="1" applyAlignment="1">
      <alignment horizontal="center"/>
    </xf>
    <xf numFmtId="3" fontId="15" fillId="0" borderId="0" xfId="0" applyNumberFormat="1" applyFont="1" applyBorder="1" applyAlignment="1">
      <alignment/>
    </xf>
    <xf numFmtId="3" fontId="15" fillId="3" borderId="0" xfId="0" applyNumberFormat="1" applyFont="1" applyFill="1" applyBorder="1" applyAlignment="1">
      <alignment horizontal="righ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3" fontId="3" fillId="0" borderId="53" xfId="15" applyNumberFormat="1" applyFont="1" applyBorder="1" applyAlignment="1">
      <alignment horizontal="right"/>
    </xf>
    <xf numFmtId="3" fontId="4" fillId="0" borderId="79" xfId="0" applyNumberFormat="1" applyFont="1" applyBorder="1" applyAlignment="1">
      <alignment horizontal="right"/>
    </xf>
    <xf numFmtId="3" fontId="4" fillId="0" borderId="40" xfId="0" applyNumberFormat="1" applyFont="1" applyBorder="1" applyAlignment="1">
      <alignment horizontal="right"/>
    </xf>
    <xf numFmtId="3" fontId="4" fillId="0" borderId="80" xfId="0" applyNumberFormat="1" applyFont="1" applyBorder="1" applyAlignment="1">
      <alignment horizontal="right"/>
    </xf>
    <xf numFmtId="3" fontId="7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0" fontId="8" fillId="0" borderId="9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4" xfId="0" applyFont="1" applyBorder="1" applyAlignment="1">
      <alignment horizontal="center"/>
    </xf>
    <xf numFmtId="0" fontId="8" fillId="0" borderId="3" xfId="0" applyFont="1" applyBorder="1" applyAlignment="1">
      <alignment/>
    </xf>
    <xf numFmtId="0" fontId="8" fillId="0" borderId="4" xfId="0" applyFont="1" applyBorder="1" applyAlignment="1">
      <alignment/>
    </xf>
    <xf numFmtId="3" fontId="8" fillId="0" borderId="11" xfId="0" applyNumberFormat="1" applyFont="1" applyBorder="1" applyAlignment="1">
      <alignment/>
    </xf>
    <xf numFmtId="3" fontId="8" fillId="0" borderId="10" xfId="0" applyNumberFormat="1" applyFont="1" applyBorder="1" applyAlignment="1">
      <alignment/>
    </xf>
    <xf numFmtId="0" fontId="8" fillId="0" borderId="11" xfId="0" applyFont="1" applyBorder="1" applyAlignment="1">
      <alignment/>
    </xf>
    <xf numFmtId="0" fontId="8" fillId="0" borderId="26" xfId="0" applyFont="1" applyBorder="1" applyAlignment="1">
      <alignment/>
    </xf>
    <xf numFmtId="0" fontId="8" fillId="0" borderId="1" xfId="0" applyFont="1" applyBorder="1" applyAlignment="1">
      <alignment horizontal="left" vertical="center"/>
    </xf>
    <xf numFmtId="0" fontId="8" fillId="0" borderId="4" xfId="0" applyFont="1" applyBorder="1" applyAlignment="1">
      <alignment/>
    </xf>
    <xf numFmtId="3" fontId="7" fillId="0" borderId="11" xfId="0" applyNumberFormat="1" applyFont="1" applyBorder="1" applyAlignment="1">
      <alignment/>
    </xf>
    <xf numFmtId="3" fontId="8" fillId="0" borderId="10" xfId="0" applyNumberFormat="1" applyFont="1" applyBorder="1" applyAlignment="1">
      <alignment/>
    </xf>
    <xf numFmtId="0" fontId="8" fillId="0" borderId="11" xfId="0" applyFont="1" applyBorder="1" applyAlignment="1">
      <alignment/>
    </xf>
    <xf numFmtId="0" fontId="8" fillId="0" borderId="26" xfId="0" applyFont="1" applyBorder="1" applyAlignment="1">
      <alignment/>
    </xf>
    <xf numFmtId="0" fontId="7" fillId="0" borderId="1" xfId="0" applyFont="1" applyBorder="1" applyAlignment="1">
      <alignment/>
    </xf>
    <xf numFmtId="3" fontId="7" fillId="0" borderId="10" xfId="0" applyNumberFormat="1" applyFont="1" applyBorder="1" applyAlignment="1">
      <alignment horizontal="right"/>
    </xf>
    <xf numFmtId="3" fontId="8" fillId="0" borderId="10" xfId="0" applyNumberFormat="1" applyFont="1" applyBorder="1" applyAlignment="1">
      <alignment/>
    </xf>
    <xf numFmtId="3" fontId="8" fillId="0" borderId="10" xfId="0" applyNumberFormat="1" applyFont="1" applyBorder="1" applyAlignment="1">
      <alignment/>
    </xf>
    <xf numFmtId="3" fontId="8" fillId="0" borderId="11" xfId="0" applyNumberFormat="1" applyFont="1" applyBorder="1" applyAlignment="1">
      <alignment/>
    </xf>
    <xf numFmtId="3" fontId="8" fillId="0" borderId="26" xfId="0" applyNumberFormat="1" applyFont="1" applyBorder="1" applyAlignment="1">
      <alignment/>
    </xf>
    <xf numFmtId="3" fontId="7" fillId="0" borderId="10" xfId="0" applyNumberFormat="1" applyFont="1" applyBorder="1" applyAlignment="1">
      <alignment horizontal="right"/>
    </xf>
    <xf numFmtId="3" fontId="8" fillId="0" borderId="10" xfId="0" applyNumberFormat="1" applyFont="1" applyFill="1" applyBorder="1" applyAlignment="1">
      <alignment/>
    </xf>
    <xf numFmtId="172" fontId="7" fillId="0" borderId="11" xfId="0" applyNumberFormat="1" applyFont="1" applyBorder="1" applyAlignment="1">
      <alignment/>
    </xf>
    <xf numFmtId="0" fontId="29" fillId="0" borderId="1" xfId="0" applyFont="1" applyBorder="1" applyAlignment="1">
      <alignment/>
    </xf>
    <xf numFmtId="3" fontId="3" fillId="0" borderId="10" xfId="0" applyNumberFormat="1" applyFont="1" applyBorder="1" applyAlignment="1">
      <alignment horizontal="right"/>
    </xf>
    <xf numFmtId="3" fontId="29" fillId="0" borderId="10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3" fontId="29" fillId="0" borderId="10" xfId="0" applyNumberFormat="1" applyFont="1" applyBorder="1" applyAlignment="1">
      <alignment/>
    </xf>
    <xf numFmtId="3" fontId="29" fillId="0" borderId="11" xfId="0" applyNumberFormat="1" applyFont="1" applyBorder="1" applyAlignment="1">
      <alignment/>
    </xf>
    <xf numFmtId="0" fontId="3" fillId="0" borderId="0" xfId="0" applyFont="1" applyAlignment="1">
      <alignment/>
    </xf>
    <xf numFmtId="0" fontId="42" fillId="0" borderId="1" xfId="0" applyFont="1" applyBorder="1" applyAlignment="1">
      <alignment/>
    </xf>
    <xf numFmtId="3" fontId="42" fillId="0" borderId="10" xfId="0" applyNumberFormat="1" applyFont="1" applyBorder="1" applyAlignment="1">
      <alignment/>
    </xf>
    <xf numFmtId="3" fontId="7" fillId="0" borderId="11" xfId="0" applyNumberFormat="1" applyFont="1" applyFill="1" applyBorder="1" applyAlignment="1">
      <alignment/>
    </xf>
    <xf numFmtId="3" fontId="8" fillId="0" borderId="10" xfId="0" applyNumberFormat="1" applyFont="1" applyFill="1" applyBorder="1" applyAlignment="1">
      <alignment/>
    </xf>
    <xf numFmtId="0" fontId="42" fillId="0" borderId="1" xfId="0" applyFont="1" applyBorder="1" applyAlignment="1">
      <alignment wrapText="1"/>
    </xf>
    <xf numFmtId="172" fontId="7" fillId="0" borderId="10" xfId="0" applyNumberFormat="1" applyFont="1" applyBorder="1" applyAlignment="1">
      <alignment horizontal="right"/>
    </xf>
    <xf numFmtId="0" fontId="7" fillId="0" borderId="1" xfId="0" applyFont="1" applyFill="1" applyBorder="1" applyAlignment="1">
      <alignment/>
    </xf>
    <xf numFmtId="172" fontId="7" fillId="0" borderId="10" xfId="0" applyNumberFormat="1" applyFont="1" applyFill="1" applyBorder="1" applyAlignment="1">
      <alignment horizontal="right"/>
    </xf>
    <xf numFmtId="3" fontId="7" fillId="0" borderId="10" xfId="0" applyNumberFormat="1" applyFont="1" applyFill="1" applyBorder="1" applyAlignment="1">
      <alignment horizontal="right"/>
    </xf>
    <xf numFmtId="3" fontId="8" fillId="0" borderId="10" xfId="0" applyNumberFormat="1" applyFont="1" applyFill="1" applyBorder="1" applyAlignment="1">
      <alignment/>
    </xf>
    <xf numFmtId="4" fontId="7" fillId="0" borderId="10" xfId="0" applyNumberFormat="1" applyFont="1" applyBorder="1" applyAlignment="1">
      <alignment horizontal="right"/>
    </xf>
    <xf numFmtId="4" fontId="7" fillId="0" borderId="10" xfId="0" applyNumberFormat="1" applyFont="1" applyFill="1" applyBorder="1" applyAlignment="1">
      <alignment horizontal="right"/>
    </xf>
    <xf numFmtId="170" fontId="7" fillId="0" borderId="10" xfId="0" applyNumberFormat="1" applyFont="1" applyBorder="1" applyAlignment="1">
      <alignment horizontal="right"/>
    </xf>
    <xf numFmtId="174" fontId="7" fillId="0" borderId="10" xfId="0" applyNumberFormat="1" applyFont="1" applyBorder="1" applyAlignment="1">
      <alignment horizontal="right"/>
    </xf>
    <xf numFmtId="1" fontId="7" fillId="0" borderId="10" xfId="0" applyNumberFormat="1" applyFont="1" applyBorder="1" applyAlignment="1">
      <alignment horizontal="right"/>
    </xf>
    <xf numFmtId="1" fontId="7" fillId="0" borderId="10" xfId="0" applyNumberFormat="1" applyFont="1" applyFill="1" applyBorder="1" applyAlignment="1">
      <alignment horizontal="right"/>
    </xf>
    <xf numFmtId="0" fontId="7" fillId="0" borderId="0" xfId="0" applyFont="1" applyFill="1" applyAlignment="1">
      <alignment/>
    </xf>
    <xf numFmtId="174" fontId="7" fillId="0" borderId="10" xfId="0" applyNumberFormat="1" applyFont="1" applyFill="1" applyBorder="1" applyAlignment="1">
      <alignment horizontal="right"/>
    </xf>
    <xf numFmtId="0" fontId="43" fillId="0" borderId="1" xfId="0" applyFont="1" applyBorder="1" applyAlignment="1">
      <alignment/>
    </xf>
    <xf numFmtId="174" fontId="7" fillId="0" borderId="60" xfId="0" applyNumberFormat="1" applyFont="1" applyBorder="1" applyAlignment="1">
      <alignment horizontal="right"/>
    </xf>
    <xf numFmtId="3" fontId="7" fillId="0" borderId="11" xfId="0" applyNumberFormat="1" applyFont="1" applyBorder="1" applyAlignment="1">
      <alignment horizontal="right"/>
    </xf>
    <xf numFmtId="0" fontId="7" fillId="0" borderId="1" xfId="0" applyFont="1" applyFill="1" applyBorder="1" applyAlignment="1">
      <alignment/>
    </xf>
    <xf numFmtId="3" fontId="7" fillId="0" borderId="60" xfId="0" applyNumberFormat="1" applyFont="1" applyFill="1" applyBorder="1" applyAlignment="1">
      <alignment horizontal="right"/>
    </xf>
    <xf numFmtId="3" fontId="7" fillId="0" borderId="11" xfId="0" applyNumberFormat="1" applyFont="1" applyFill="1" applyBorder="1" applyAlignment="1">
      <alignment horizontal="right"/>
    </xf>
    <xf numFmtId="3" fontId="8" fillId="0" borderId="11" xfId="0" applyNumberFormat="1" applyFont="1" applyFill="1" applyBorder="1" applyAlignment="1">
      <alignment/>
    </xf>
    <xf numFmtId="0" fontId="29" fillId="0" borderId="1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3" fontId="29" fillId="0" borderId="11" xfId="0" applyNumberFormat="1" applyFont="1" applyFill="1" applyBorder="1" applyAlignment="1">
      <alignment/>
    </xf>
    <xf numFmtId="3" fontId="29" fillId="0" borderId="10" xfId="0" applyNumberFormat="1" applyFont="1" applyFill="1" applyBorder="1" applyAlignment="1">
      <alignment/>
    </xf>
    <xf numFmtId="3" fontId="3" fillId="0" borderId="11" xfId="0" applyNumberFormat="1" applyFont="1" applyFill="1" applyBorder="1" applyAlignment="1">
      <alignment/>
    </xf>
    <xf numFmtId="3" fontId="29" fillId="0" borderId="10" xfId="0" applyNumberFormat="1" applyFont="1" applyFill="1" applyBorder="1" applyAlignment="1">
      <alignment/>
    </xf>
    <xf numFmtId="0" fontId="7" fillId="0" borderId="11" xfId="0" applyFont="1" applyBorder="1" applyAlignment="1">
      <alignment/>
    </xf>
    <xf numFmtId="3" fontId="42" fillId="0" borderId="11" xfId="0" applyNumberFormat="1" applyFont="1" applyBorder="1" applyAlignment="1">
      <alignment/>
    </xf>
    <xf numFmtId="4" fontId="29" fillId="0" borderId="11" xfId="0" applyNumberFormat="1" applyFont="1" applyBorder="1" applyAlignment="1">
      <alignment horizontal="right"/>
    </xf>
    <xf numFmtId="3" fontId="29" fillId="0" borderId="11" xfId="0" applyNumberFormat="1" applyFont="1" applyBorder="1" applyAlignment="1">
      <alignment horizontal="right"/>
    </xf>
    <xf numFmtId="3" fontId="29" fillId="0" borderId="11" xfId="0" applyNumberFormat="1" applyFont="1" applyBorder="1" applyAlignment="1">
      <alignment/>
    </xf>
    <xf numFmtId="3" fontId="27" fillId="0" borderId="11" xfId="0" applyNumberFormat="1" applyFont="1" applyBorder="1" applyAlignment="1">
      <alignment/>
    </xf>
    <xf numFmtId="0" fontId="27" fillId="0" borderId="0" xfId="0" applyFont="1" applyAlignment="1">
      <alignment/>
    </xf>
    <xf numFmtId="3" fontId="8" fillId="0" borderId="11" xfId="0" applyNumberFormat="1" applyFont="1" applyBorder="1" applyAlignment="1">
      <alignment/>
    </xf>
    <xf numFmtId="174" fontId="7" fillId="0" borderId="11" xfId="0" applyNumberFormat="1" applyFont="1" applyFill="1" applyBorder="1" applyAlignment="1">
      <alignment horizontal="right"/>
    </xf>
    <xf numFmtId="0" fontId="7" fillId="0" borderId="81" xfId="0" applyFont="1" applyFill="1" applyBorder="1" applyAlignment="1">
      <alignment/>
    </xf>
    <xf numFmtId="174" fontId="7" fillId="0" borderId="11" xfId="0" applyNumberFormat="1" applyFont="1" applyBorder="1" applyAlignment="1">
      <alignment horizontal="right"/>
    </xf>
    <xf numFmtId="3" fontId="29" fillId="0" borderId="10" xfId="0" applyNumberFormat="1" applyFont="1" applyFill="1" applyBorder="1" applyAlignment="1">
      <alignment horizontal="right"/>
    </xf>
    <xf numFmtId="3" fontId="29" fillId="0" borderId="11" xfId="0" applyNumberFormat="1" applyFont="1" applyFill="1" applyBorder="1" applyAlignment="1">
      <alignment/>
    </xf>
    <xf numFmtId="0" fontId="29" fillId="0" borderId="0" xfId="0" applyFont="1" applyAlignment="1">
      <alignment/>
    </xf>
    <xf numFmtId="3" fontId="42" fillId="0" borderId="10" xfId="0" applyNumberFormat="1" applyFont="1" applyBorder="1" applyAlignment="1">
      <alignment horizontal="right"/>
    </xf>
    <xf numFmtId="3" fontId="42" fillId="0" borderId="11" xfId="0" applyNumberFormat="1" applyFont="1" applyBorder="1" applyAlignment="1">
      <alignment/>
    </xf>
    <xf numFmtId="3" fontId="42" fillId="0" borderId="10" xfId="0" applyNumberFormat="1" applyFont="1" applyBorder="1" applyAlignment="1">
      <alignment/>
    </xf>
    <xf numFmtId="0" fontId="42" fillId="0" borderId="0" xfId="0" applyFont="1" applyAlignment="1">
      <alignment/>
    </xf>
    <xf numFmtId="3" fontId="29" fillId="0" borderId="10" xfId="0" applyNumberFormat="1" applyFont="1" applyBorder="1" applyAlignment="1">
      <alignment horizontal="right"/>
    </xf>
    <xf numFmtId="3" fontId="29" fillId="0" borderId="11" xfId="0" applyNumberFormat="1" applyFont="1" applyBorder="1" applyAlignment="1">
      <alignment/>
    </xf>
    <xf numFmtId="0" fontId="31" fillId="0" borderId="1" xfId="0" applyFont="1" applyBorder="1" applyAlignment="1">
      <alignment/>
    </xf>
    <xf numFmtId="3" fontId="31" fillId="0" borderId="10" xfId="0" applyNumberFormat="1" applyFont="1" applyBorder="1" applyAlignment="1">
      <alignment horizontal="right"/>
    </xf>
    <xf numFmtId="3" fontId="44" fillId="0" borderId="11" xfId="0" applyNumberFormat="1" applyFont="1" applyBorder="1" applyAlignment="1">
      <alignment/>
    </xf>
    <xf numFmtId="0" fontId="44" fillId="0" borderId="0" xfId="0" applyFont="1" applyBorder="1" applyAlignment="1">
      <alignment/>
    </xf>
    <xf numFmtId="0" fontId="42" fillId="0" borderId="13" xfId="0" applyFont="1" applyBorder="1" applyAlignment="1">
      <alignment/>
    </xf>
    <xf numFmtId="3" fontId="43" fillId="0" borderId="50" xfId="0" applyNumberFormat="1" applyFont="1" applyBorder="1" applyAlignment="1">
      <alignment horizontal="right"/>
    </xf>
    <xf numFmtId="3" fontId="42" fillId="0" borderId="50" xfId="0" applyNumberFormat="1" applyFont="1" applyBorder="1" applyAlignment="1">
      <alignment/>
    </xf>
    <xf numFmtId="3" fontId="42" fillId="0" borderId="50" xfId="0" applyNumberFormat="1" applyFont="1" applyBorder="1" applyAlignment="1">
      <alignment horizontal="right"/>
    </xf>
    <xf numFmtId="3" fontId="43" fillId="0" borderId="11" xfId="0" applyNumberFormat="1" applyFont="1" applyBorder="1" applyAlignment="1">
      <alignment/>
    </xf>
    <xf numFmtId="0" fontId="43" fillId="0" borderId="0" xfId="0" applyFont="1" applyBorder="1" applyAlignment="1">
      <alignment/>
    </xf>
    <xf numFmtId="0" fontId="31" fillId="0" borderId="7" xfId="0" applyFont="1" applyBorder="1" applyAlignment="1">
      <alignment/>
    </xf>
    <xf numFmtId="3" fontId="44" fillId="0" borderId="41" xfId="0" applyNumberFormat="1" applyFont="1" applyBorder="1" applyAlignment="1">
      <alignment horizontal="right"/>
    </xf>
    <xf numFmtId="3" fontId="31" fillId="0" borderId="41" xfId="0" applyNumberFormat="1" applyFont="1" applyBorder="1" applyAlignment="1">
      <alignment horizontal="right"/>
    </xf>
    <xf numFmtId="3" fontId="45" fillId="0" borderId="14" xfId="0" applyNumberFormat="1" applyFont="1" applyBorder="1" applyAlignment="1">
      <alignment/>
    </xf>
    <xf numFmtId="3" fontId="31" fillId="0" borderId="41" xfId="0" applyNumberFormat="1" applyFont="1" applyBorder="1" applyAlignment="1">
      <alignment/>
    </xf>
    <xf numFmtId="3" fontId="29" fillId="0" borderId="14" xfId="0" applyNumberFormat="1" applyFont="1" applyBorder="1" applyAlignment="1">
      <alignment/>
    </xf>
    <xf numFmtId="0" fontId="45" fillId="0" borderId="0" xfId="0" applyFont="1" applyBorder="1" applyAlignment="1">
      <alignment/>
    </xf>
    <xf numFmtId="0" fontId="45" fillId="0" borderId="32" xfId="0" applyFont="1" applyBorder="1" applyAlignment="1">
      <alignment/>
    </xf>
    <xf numFmtId="0" fontId="7" fillId="0" borderId="82" xfId="0" applyFont="1" applyBorder="1" applyAlignment="1">
      <alignment/>
    </xf>
    <xf numFmtId="3" fontId="7" fillId="0" borderId="0" xfId="0" applyNumberFormat="1" applyFont="1" applyBorder="1" applyAlignment="1">
      <alignment horizontal="right"/>
    </xf>
    <xf numFmtId="3" fontId="7" fillId="0" borderId="0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0" fontId="7" fillId="0" borderId="7" xfId="0" applyFont="1" applyFill="1" applyBorder="1" applyAlignment="1">
      <alignment/>
    </xf>
    <xf numFmtId="3" fontId="7" fillId="0" borderId="41" xfId="0" applyNumberFormat="1" applyFont="1" applyFill="1" applyBorder="1" applyAlignment="1">
      <alignment horizontal="right"/>
    </xf>
    <xf numFmtId="3" fontId="8" fillId="0" borderId="41" xfId="0" applyNumberFormat="1" applyFont="1" applyFill="1" applyBorder="1" applyAlignment="1">
      <alignment/>
    </xf>
    <xf numFmtId="3" fontId="7" fillId="0" borderId="14" xfId="0" applyNumberFormat="1" applyFont="1" applyFill="1" applyBorder="1" applyAlignment="1">
      <alignment/>
    </xf>
    <xf numFmtId="3" fontId="8" fillId="0" borderId="41" xfId="0" applyNumberFormat="1" applyFont="1" applyFill="1" applyBorder="1" applyAlignment="1">
      <alignment/>
    </xf>
    <xf numFmtId="3" fontId="8" fillId="0" borderId="14" xfId="0" applyNumberFormat="1" applyFont="1" applyBorder="1" applyAlignment="1">
      <alignment/>
    </xf>
    <xf numFmtId="3" fontId="8" fillId="0" borderId="27" xfId="0" applyNumberFormat="1" applyFont="1" applyBorder="1" applyAlignment="1">
      <alignment/>
    </xf>
    <xf numFmtId="0" fontId="7" fillId="0" borderId="9" xfId="0" applyFont="1" applyFill="1" applyBorder="1" applyAlignment="1">
      <alignment/>
    </xf>
    <xf numFmtId="3" fontId="7" fillId="0" borderId="36" xfId="0" applyNumberFormat="1" applyFont="1" applyFill="1" applyBorder="1" applyAlignment="1">
      <alignment horizontal="right"/>
    </xf>
    <xf numFmtId="3" fontId="8" fillId="0" borderId="36" xfId="0" applyNumberFormat="1" applyFont="1" applyFill="1" applyBorder="1" applyAlignment="1">
      <alignment/>
    </xf>
    <xf numFmtId="3" fontId="7" fillId="0" borderId="37" xfId="0" applyNumberFormat="1" applyFont="1" applyFill="1" applyBorder="1" applyAlignment="1">
      <alignment/>
    </xf>
    <xf numFmtId="3" fontId="8" fillId="0" borderId="36" xfId="0" applyNumberFormat="1" applyFont="1" applyFill="1" applyBorder="1" applyAlignment="1">
      <alignment/>
    </xf>
    <xf numFmtId="3" fontId="8" fillId="0" borderId="37" xfId="0" applyNumberFormat="1" applyFont="1" applyBorder="1" applyAlignment="1">
      <alignment/>
    </xf>
    <xf numFmtId="3" fontId="8" fillId="0" borderId="29" xfId="0" applyNumberFormat="1" applyFont="1" applyBorder="1" applyAlignment="1">
      <alignment/>
    </xf>
    <xf numFmtId="3" fontId="3" fillId="0" borderId="26" xfId="0" applyNumberFormat="1" applyFont="1" applyBorder="1" applyAlignment="1">
      <alignment/>
    </xf>
    <xf numFmtId="0" fontId="3" fillId="0" borderId="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/>
    </xf>
    <xf numFmtId="0" fontId="3" fillId="0" borderId="11" xfId="0" applyFont="1" applyBorder="1" applyAlignment="1">
      <alignment/>
    </xf>
    <xf numFmtId="3" fontId="4" fillId="0" borderId="11" xfId="0" applyNumberFormat="1" applyFont="1" applyBorder="1" applyAlignment="1">
      <alignment/>
    </xf>
    <xf numFmtId="0" fontId="3" fillId="0" borderId="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14" fillId="0" borderId="0" xfId="21" applyFont="1">
      <alignment/>
      <protection/>
    </xf>
    <xf numFmtId="0" fontId="9" fillId="0" borderId="0" xfId="21" applyFont="1">
      <alignment/>
      <protection/>
    </xf>
    <xf numFmtId="0" fontId="33" fillId="0" borderId="0" xfId="21">
      <alignment/>
      <protection/>
    </xf>
    <xf numFmtId="3" fontId="33" fillId="0" borderId="0" xfId="21" applyNumberFormat="1">
      <alignment/>
      <protection/>
    </xf>
    <xf numFmtId="0" fontId="14" fillId="0" borderId="9" xfId="21" applyFont="1" applyBorder="1">
      <alignment/>
      <protection/>
    </xf>
    <xf numFmtId="0" fontId="38" fillId="0" borderId="0" xfId="21" applyFont="1">
      <alignment/>
      <protection/>
    </xf>
    <xf numFmtId="0" fontId="9" fillId="0" borderId="1" xfId="21" applyFont="1" applyBorder="1">
      <alignment/>
      <protection/>
    </xf>
    <xf numFmtId="3" fontId="9" fillId="0" borderId="26" xfId="21" applyNumberFormat="1" applyFont="1" applyBorder="1">
      <alignment/>
      <protection/>
    </xf>
    <xf numFmtId="0" fontId="14" fillId="0" borderId="1" xfId="21" applyFont="1" applyBorder="1">
      <alignment/>
      <protection/>
    </xf>
    <xf numFmtId="3" fontId="14" fillId="0" borderId="26" xfId="21" applyNumberFormat="1" applyFont="1" applyBorder="1">
      <alignment/>
      <protection/>
    </xf>
    <xf numFmtId="0" fontId="31" fillId="0" borderId="1" xfId="21" applyFont="1" applyBorder="1">
      <alignment/>
      <protection/>
    </xf>
    <xf numFmtId="3" fontId="31" fillId="0" borderId="26" xfId="21" applyNumberFormat="1" applyFont="1" applyBorder="1">
      <alignment/>
      <protection/>
    </xf>
    <xf numFmtId="0" fontId="9" fillId="0" borderId="1" xfId="21" applyFont="1" applyBorder="1" applyAlignment="1">
      <alignment wrapText="1"/>
      <protection/>
    </xf>
    <xf numFmtId="0" fontId="32" fillId="0" borderId="7" xfId="21" applyFont="1" applyBorder="1">
      <alignment/>
      <protection/>
    </xf>
    <xf numFmtId="3" fontId="32" fillId="0" borderId="27" xfId="21" applyNumberFormat="1" applyFont="1" applyBorder="1">
      <alignment/>
      <protection/>
    </xf>
    <xf numFmtId="0" fontId="46" fillId="0" borderId="0" xfId="21" applyFont="1">
      <alignment/>
      <protection/>
    </xf>
    <xf numFmtId="0" fontId="8" fillId="0" borderId="0" xfId="21" applyFont="1">
      <alignment/>
      <protection/>
    </xf>
    <xf numFmtId="0" fontId="3" fillId="0" borderId="0" xfId="21" applyFont="1">
      <alignment/>
      <protection/>
    </xf>
    <xf numFmtId="0" fontId="5" fillId="0" borderId="0" xfId="21" applyFont="1" applyBorder="1" applyAlignment="1">
      <alignment horizontal="center"/>
      <protection/>
    </xf>
    <xf numFmtId="0" fontId="4" fillId="0" borderId="9" xfId="21" applyFont="1" applyBorder="1" applyAlignment="1">
      <alignment vertical="top" wrapText="1"/>
      <protection/>
    </xf>
    <xf numFmtId="0" fontId="47" fillId="0" borderId="0" xfId="21" applyFont="1">
      <alignment/>
      <protection/>
    </xf>
    <xf numFmtId="0" fontId="14" fillId="0" borderId="1" xfId="21" applyFont="1" applyBorder="1" applyAlignment="1">
      <alignment vertical="top" wrapText="1"/>
      <protection/>
    </xf>
    <xf numFmtId="0" fontId="14" fillId="0" borderId="7" xfId="21" applyFont="1" applyBorder="1">
      <alignment/>
      <protection/>
    </xf>
    <xf numFmtId="3" fontId="14" fillId="0" borderId="27" xfId="21" applyNumberFormat="1" applyFont="1" applyBorder="1">
      <alignment/>
      <protection/>
    </xf>
    <xf numFmtId="0" fontId="5" fillId="0" borderId="0" xfId="21" applyFont="1">
      <alignment/>
      <protection/>
    </xf>
    <xf numFmtId="0" fontId="6" fillId="0" borderId="0" xfId="21" applyFont="1">
      <alignment/>
      <protection/>
    </xf>
    <xf numFmtId="0" fontId="4" fillId="0" borderId="0" xfId="21" applyFont="1" applyBorder="1" applyAlignment="1">
      <alignment horizontal="center"/>
      <protection/>
    </xf>
    <xf numFmtId="0" fontId="33" fillId="0" borderId="0" xfId="21" applyAlignment="1">
      <alignment/>
      <protection/>
    </xf>
    <xf numFmtId="0" fontId="14" fillId="0" borderId="9" xfId="21" applyFont="1" applyBorder="1" applyAlignment="1">
      <alignment horizontal="left"/>
      <protection/>
    </xf>
    <xf numFmtId="0" fontId="14" fillId="0" borderId="29" xfId="21" applyFont="1" applyBorder="1" applyAlignment="1">
      <alignment horizontal="center"/>
      <protection/>
    </xf>
    <xf numFmtId="0" fontId="14" fillId="0" borderId="12" xfId="21" applyFont="1" applyBorder="1" applyAlignment="1">
      <alignment horizontal="left"/>
      <protection/>
    </xf>
    <xf numFmtId="0" fontId="14" fillId="0" borderId="38" xfId="21" applyFont="1" applyBorder="1" applyAlignment="1">
      <alignment horizontal="center"/>
      <protection/>
    </xf>
    <xf numFmtId="0" fontId="21" fillId="0" borderId="0" xfId="0" applyFont="1" applyAlignment="1">
      <alignment/>
    </xf>
    <xf numFmtId="3" fontId="3" fillId="0" borderId="11" xfId="0" applyNumberFormat="1" applyFont="1" applyBorder="1" applyAlignment="1">
      <alignment horizontal="right" vertical="center" wrapText="1"/>
    </xf>
    <xf numFmtId="3" fontId="4" fillId="0" borderId="26" xfId="0" applyNumberFormat="1" applyFont="1" applyBorder="1" applyAlignment="1">
      <alignment horizontal="right" vertical="center" wrapText="1"/>
    </xf>
    <xf numFmtId="3" fontId="6" fillId="0" borderId="11" xfId="0" applyNumberFormat="1" applyFont="1" applyBorder="1" applyAlignment="1">
      <alignment/>
    </xf>
    <xf numFmtId="0" fontId="5" fillId="0" borderId="11" xfId="0" applyFont="1" applyBorder="1" applyAlignment="1">
      <alignment/>
    </xf>
    <xf numFmtId="3" fontId="5" fillId="0" borderId="26" xfId="0" applyNumberFormat="1" applyFont="1" applyBorder="1" applyAlignment="1">
      <alignment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/>
    </xf>
    <xf numFmtId="0" fontId="4" fillId="0" borderId="11" xfId="0" applyFont="1" applyBorder="1" applyAlignment="1">
      <alignment/>
    </xf>
    <xf numFmtId="3" fontId="4" fillId="0" borderId="27" xfId="0" applyNumberFormat="1" applyFont="1" applyBorder="1" applyAlignment="1">
      <alignment horizontal="right" vertical="center" wrapText="1"/>
    </xf>
    <xf numFmtId="49" fontId="5" fillId="0" borderId="1" xfId="0" applyNumberFormat="1" applyFont="1" applyBorder="1" applyAlignment="1">
      <alignment/>
    </xf>
    <xf numFmtId="0" fontId="6" fillId="0" borderId="11" xfId="0" applyFont="1" applyBorder="1" applyAlignment="1">
      <alignment/>
    </xf>
    <xf numFmtId="0" fontId="4" fillId="0" borderId="27" xfId="0" applyFont="1" applyBorder="1" applyAlignment="1">
      <alignment horizontal="center" vertical="center" wrapText="1"/>
    </xf>
    <xf numFmtId="0" fontId="17" fillId="0" borderId="19" xfId="24" applyFont="1" applyBorder="1" applyAlignment="1">
      <alignment/>
      <protection/>
    </xf>
    <xf numFmtId="3" fontId="17" fillId="0" borderId="83" xfId="24" applyNumberFormat="1" applyFont="1" applyBorder="1">
      <alignment/>
      <protection/>
    </xf>
    <xf numFmtId="3" fontId="17" fillId="0" borderId="18" xfId="24" applyNumberFormat="1" applyFont="1" applyBorder="1">
      <alignment/>
      <protection/>
    </xf>
    <xf numFmtId="3" fontId="3" fillId="0" borderId="26" xfId="0" applyNumberFormat="1" applyFont="1" applyBorder="1" applyAlignment="1">
      <alignment horizontal="right" vertical="center" wrapText="1"/>
    </xf>
    <xf numFmtId="3" fontId="4" fillId="0" borderId="0" xfId="24" applyNumberFormat="1" applyFont="1">
      <alignment/>
      <protection/>
    </xf>
    <xf numFmtId="0" fontId="49" fillId="0" borderId="0" xfId="24" applyFont="1">
      <alignment/>
      <protection/>
    </xf>
    <xf numFmtId="3" fontId="49" fillId="0" borderId="0" xfId="24" applyNumberFormat="1" applyFont="1">
      <alignment/>
      <protection/>
    </xf>
    <xf numFmtId="3" fontId="49" fillId="0" borderId="0" xfId="24" applyNumberFormat="1" applyFont="1" applyAlignment="1">
      <alignment/>
      <protection/>
    </xf>
    <xf numFmtId="3" fontId="4" fillId="0" borderId="0" xfId="24" applyNumberFormat="1" applyFont="1" applyBorder="1">
      <alignment/>
      <protection/>
    </xf>
    <xf numFmtId="3" fontId="17" fillId="0" borderId="84" xfId="24" applyNumberFormat="1" applyFont="1" applyBorder="1">
      <alignment/>
      <protection/>
    </xf>
    <xf numFmtId="0" fontId="17" fillId="0" borderId="18" xfId="24" applyFont="1" applyBorder="1" applyAlignment="1" quotePrefix="1">
      <alignment horizontal="left"/>
      <protection/>
    </xf>
    <xf numFmtId="0" fontId="3" fillId="0" borderId="19" xfId="24" applyFont="1" applyBorder="1">
      <alignment/>
      <protection/>
    </xf>
    <xf numFmtId="0" fontId="4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3" fontId="4" fillId="0" borderId="26" xfId="0" applyNumberFormat="1" applyFont="1" applyBorder="1" applyAlignment="1">
      <alignment/>
    </xf>
    <xf numFmtId="3" fontId="49" fillId="0" borderId="0" xfId="24" applyNumberFormat="1" applyFont="1" applyBorder="1">
      <alignment/>
      <protection/>
    </xf>
    <xf numFmtId="0" fontId="16" fillId="0" borderId="0" xfId="24" applyFont="1" applyBorder="1">
      <alignment/>
      <protection/>
    </xf>
    <xf numFmtId="3" fontId="16" fillId="0" borderId="0" xfId="24" applyNumberFormat="1" applyFont="1" applyBorder="1">
      <alignment/>
      <protection/>
    </xf>
    <xf numFmtId="3" fontId="16" fillId="0" borderId="0" xfId="24" applyNumberFormat="1" applyFont="1">
      <alignment/>
      <protection/>
    </xf>
    <xf numFmtId="0" fontId="16" fillId="0" borderId="18" xfId="24" applyFont="1" applyBorder="1">
      <alignment/>
      <protection/>
    </xf>
    <xf numFmtId="3" fontId="16" fillId="0" borderId="18" xfId="24" applyNumberFormat="1" applyFont="1" applyBorder="1">
      <alignment/>
      <protection/>
    </xf>
    <xf numFmtId="0" fontId="16" fillId="0" borderId="19" xfId="24" applyFont="1" applyBorder="1">
      <alignment/>
      <protection/>
    </xf>
    <xf numFmtId="3" fontId="16" fillId="0" borderId="19" xfId="24" applyNumberFormat="1" applyFont="1" applyBorder="1">
      <alignment/>
      <protection/>
    </xf>
    <xf numFmtId="3" fontId="16" fillId="0" borderId="16" xfId="24" applyNumberFormat="1" applyFont="1" applyBorder="1">
      <alignment/>
      <protection/>
    </xf>
    <xf numFmtId="0" fontId="16" fillId="0" borderId="22" xfId="0" applyFont="1" applyBorder="1" applyAlignment="1">
      <alignment/>
    </xf>
    <xf numFmtId="3" fontId="16" fillId="0" borderId="22" xfId="0" applyNumberFormat="1" applyFont="1" applyBorder="1" applyAlignment="1">
      <alignment/>
    </xf>
    <xf numFmtId="3" fontId="16" fillId="0" borderId="22" xfId="24" applyNumberFormat="1" applyFont="1" applyBorder="1">
      <alignment/>
      <protection/>
    </xf>
    <xf numFmtId="0" fontId="16" fillId="0" borderId="19" xfId="24" applyFont="1" applyBorder="1">
      <alignment/>
      <protection/>
    </xf>
    <xf numFmtId="0" fontId="16" fillId="0" borderId="22" xfId="24" applyFont="1" applyBorder="1">
      <alignment/>
      <protection/>
    </xf>
    <xf numFmtId="0" fontId="16" fillId="0" borderId="20" xfId="24" applyFont="1" applyBorder="1">
      <alignment/>
      <protection/>
    </xf>
    <xf numFmtId="3" fontId="16" fillId="0" borderId="83" xfId="24" applyNumberFormat="1" applyFont="1" applyBorder="1">
      <alignment/>
      <protection/>
    </xf>
    <xf numFmtId="0" fontId="4" fillId="0" borderId="20" xfId="24" applyFont="1" applyBorder="1">
      <alignment/>
      <protection/>
    </xf>
    <xf numFmtId="3" fontId="16" fillId="0" borderId="19" xfId="24" applyNumberFormat="1" applyFont="1" applyBorder="1">
      <alignment/>
      <protection/>
    </xf>
    <xf numFmtId="0" fontId="16" fillId="0" borderId="16" xfId="24" applyFont="1" applyBorder="1">
      <alignment/>
      <protection/>
    </xf>
    <xf numFmtId="0" fontId="9" fillId="0" borderId="0" xfId="20" applyFont="1">
      <alignment/>
      <protection/>
    </xf>
    <xf numFmtId="0" fontId="41" fillId="0" borderId="0" xfId="20" applyFont="1" applyAlignment="1">
      <alignment horizontal="center"/>
      <protection/>
    </xf>
    <xf numFmtId="0" fontId="9" fillId="0" borderId="0" xfId="20" applyFont="1" applyAlignment="1">
      <alignment horizontal="center"/>
      <protection/>
    </xf>
    <xf numFmtId="3" fontId="9" fillId="0" borderId="0" xfId="20" applyNumberFormat="1" applyFont="1">
      <alignment/>
      <protection/>
    </xf>
    <xf numFmtId="0" fontId="9" fillId="0" borderId="0" xfId="20" applyFont="1" applyAlignment="1">
      <alignment horizontal="right"/>
      <protection/>
    </xf>
    <xf numFmtId="3" fontId="14" fillId="0" borderId="0" xfId="20" applyNumberFormat="1" applyFont="1" applyAlignment="1">
      <alignment horizontal="right"/>
      <protection/>
    </xf>
    <xf numFmtId="0" fontId="41" fillId="0" borderId="0" xfId="20" applyFont="1">
      <alignment/>
      <protection/>
    </xf>
    <xf numFmtId="49" fontId="9" fillId="0" borderId="85" xfId="20" applyNumberFormat="1" applyFont="1" applyBorder="1" applyAlignment="1">
      <alignment horizontal="center"/>
      <protection/>
    </xf>
    <xf numFmtId="0" fontId="9" fillId="0" borderId="86" xfId="20" applyFont="1" applyBorder="1" applyAlignment="1">
      <alignment/>
      <protection/>
    </xf>
    <xf numFmtId="0" fontId="41" fillId="0" borderId="86" xfId="20" applyFont="1" applyBorder="1">
      <alignment/>
      <protection/>
    </xf>
    <xf numFmtId="3" fontId="9" fillId="0" borderId="86" xfId="20" applyNumberFormat="1" applyFont="1" applyBorder="1">
      <alignment/>
      <protection/>
    </xf>
    <xf numFmtId="3" fontId="9" fillId="0" borderId="76" xfId="20" applyNumberFormat="1" applyFont="1" applyBorder="1">
      <alignment/>
      <protection/>
    </xf>
    <xf numFmtId="1" fontId="9" fillId="0" borderId="34" xfId="20" applyNumberFormat="1" applyFont="1" applyBorder="1" applyAlignment="1">
      <alignment horizontal="center"/>
      <protection/>
    </xf>
    <xf numFmtId="0" fontId="9" fillId="0" borderId="87" xfId="20" applyFont="1" applyBorder="1" applyAlignment="1">
      <alignment horizontal="left"/>
      <protection/>
    </xf>
    <xf numFmtId="0" fontId="41" fillId="0" borderId="87" xfId="20" applyFont="1" applyBorder="1">
      <alignment/>
      <protection/>
    </xf>
    <xf numFmtId="3" fontId="9" fillId="0" borderId="87" xfId="20" applyNumberFormat="1" applyFont="1" applyBorder="1">
      <alignment/>
      <protection/>
    </xf>
    <xf numFmtId="3" fontId="9" fillId="0" borderId="35" xfId="20" applyNumberFormat="1" applyFont="1" applyBorder="1">
      <alignment/>
      <protection/>
    </xf>
    <xf numFmtId="0" fontId="9" fillId="0" borderId="87" xfId="20" applyFont="1" applyBorder="1" applyAlignment="1">
      <alignment/>
      <protection/>
    </xf>
    <xf numFmtId="3" fontId="14" fillId="0" borderId="87" xfId="20" applyNumberFormat="1" applyFont="1" applyBorder="1">
      <alignment/>
      <protection/>
    </xf>
    <xf numFmtId="1" fontId="9" fillId="0" borderId="34" xfId="19" applyNumberFormat="1" applyFont="1" applyBorder="1" applyAlignment="1">
      <alignment horizontal="center" vertical="center"/>
      <protection/>
    </xf>
    <xf numFmtId="0" fontId="9" fillId="0" borderId="87" xfId="19" applyFont="1" applyBorder="1" applyAlignment="1">
      <alignment horizontal="left" vertical="center"/>
      <protection/>
    </xf>
    <xf numFmtId="3" fontId="9" fillId="0" borderId="87" xfId="20" applyNumberFormat="1" applyFont="1" applyBorder="1" applyAlignment="1">
      <alignment horizontal="right"/>
      <protection/>
    </xf>
    <xf numFmtId="3" fontId="9" fillId="0" borderId="35" xfId="20" applyNumberFormat="1" applyFont="1" applyBorder="1" applyAlignment="1">
      <alignment horizontal="right"/>
      <protection/>
    </xf>
    <xf numFmtId="0" fontId="9" fillId="0" borderId="87" xfId="20" applyFont="1" applyBorder="1" applyAlignment="1">
      <alignment horizontal="right"/>
      <protection/>
    </xf>
    <xf numFmtId="0" fontId="41" fillId="0" borderId="0" xfId="20" applyFont="1" applyBorder="1">
      <alignment/>
      <protection/>
    </xf>
    <xf numFmtId="1" fontId="9" fillId="0" borderId="85" xfId="20" applyNumberFormat="1" applyFont="1" applyBorder="1" applyAlignment="1">
      <alignment horizontal="center"/>
      <protection/>
    </xf>
    <xf numFmtId="3" fontId="9" fillId="0" borderId="86" xfId="20" applyNumberFormat="1" applyFont="1" applyBorder="1" applyAlignment="1">
      <alignment horizontal="right"/>
      <protection/>
    </xf>
    <xf numFmtId="3" fontId="9" fillId="0" borderId="76" xfId="20" applyNumberFormat="1" applyFont="1" applyBorder="1" applyAlignment="1">
      <alignment horizontal="right"/>
      <protection/>
    </xf>
    <xf numFmtId="0" fontId="14" fillId="0" borderId="34" xfId="20" applyFont="1" applyBorder="1" applyAlignment="1">
      <alignment horizontal="left"/>
      <protection/>
    </xf>
    <xf numFmtId="0" fontId="1" fillId="0" borderId="87" xfId="20" applyFont="1" applyBorder="1">
      <alignment/>
      <protection/>
    </xf>
    <xf numFmtId="3" fontId="14" fillId="0" borderId="35" xfId="20" applyNumberFormat="1" applyFont="1" applyBorder="1">
      <alignment/>
      <protection/>
    </xf>
    <xf numFmtId="0" fontId="14" fillId="0" borderId="87" xfId="19" applyFont="1" applyBorder="1" applyAlignment="1">
      <alignment horizontal="left"/>
      <protection/>
    </xf>
    <xf numFmtId="3" fontId="14" fillId="0" borderId="87" xfId="20" applyNumberFormat="1" applyFont="1" applyBorder="1" applyAlignment="1">
      <alignment horizontal="right"/>
      <protection/>
    </xf>
    <xf numFmtId="3" fontId="14" fillId="0" borderId="35" xfId="20" applyNumberFormat="1" applyFont="1" applyBorder="1" applyAlignment="1">
      <alignment horizontal="right"/>
      <protection/>
    </xf>
    <xf numFmtId="3" fontId="14" fillId="0" borderId="0" xfId="20" applyNumberFormat="1" applyFont="1" applyBorder="1">
      <alignment/>
      <protection/>
    </xf>
    <xf numFmtId="0" fontId="1" fillId="0" borderId="0" xfId="20" applyFont="1">
      <alignment/>
      <protection/>
    </xf>
    <xf numFmtId="49" fontId="9" fillId="0" borderId="34" xfId="20" applyNumberFormat="1" applyFont="1" applyBorder="1" applyAlignment="1">
      <alignment horizontal="center"/>
      <protection/>
    </xf>
    <xf numFmtId="0" fontId="11" fillId="0" borderId="87" xfId="19" applyFont="1" applyBorder="1" applyAlignment="1">
      <alignment horizontal="left"/>
      <protection/>
    </xf>
    <xf numFmtId="0" fontId="1" fillId="0" borderId="88" xfId="20" applyFont="1" applyBorder="1">
      <alignment/>
      <protection/>
    </xf>
    <xf numFmtId="3" fontId="14" fillId="0" borderId="88" xfId="20" applyNumberFormat="1" applyFont="1" applyBorder="1" applyAlignment="1">
      <alignment horizontal="right"/>
      <protection/>
    </xf>
    <xf numFmtId="3" fontId="14" fillId="0" borderId="45" xfId="20" applyNumberFormat="1" applyFont="1" applyBorder="1" applyAlignment="1">
      <alignment horizontal="right"/>
      <protection/>
    </xf>
    <xf numFmtId="3" fontId="9" fillId="0" borderId="0" xfId="20" applyNumberFormat="1" applyFont="1" applyAlignment="1">
      <alignment horizontal="right"/>
      <protection/>
    </xf>
    <xf numFmtId="1" fontId="9" fillId="0" borderId="46" xfId="20" applyNumberFormat="1" applyFont="1" applyBorder="1" applyAlignment="1">
      <alignment horizontal="center"/>
      <protection/>
    </xf>
    <xf numFmtId="0" fontId="9" fillId="0" borderId="89" xfId="20" applyFont="1" applyBorder="1" applyAlignment="1">
      <alignment/>
      <protection/>
    </xf>
    <xf numFmtId="0" fontId="41" fillId="0" borderId="89" xfId="20" applyFont="1" applyBorder="1">
      <alignment/>
      <protection/>
    </xf>
    <xf numFmtId="3" fontId="9" fillId="0" borderId="89" xfId="20" applyNumberFormat="1" applyFont="1" applyBorder="1">
      <alignment/>
      <protection/>
    </xf>
    <xf numFmtId="3" fontId="9" fillId="0" borderId="90" xfId="20" applyNumberFormat="1" applyFont="1" applyBorder="1">
      <alignment/>
      <protection/>
    </xf>
    <xf numFmtId="3" fontId="9" fillId="0" borderId="47" xfId="20" applyNumberFormat="1" applyFont="1" applyBorder="1">
      <alignment/>
      <protection/>
    </xf>
    <xf numFmtId="0" fontId="2" fillId="0" borderId="47" xfId="22" applyFont="1" applyBorder="1">
      <alignment/>
      <protection/>
    </xf>
    <xf numFmtId="0" fontId="2" fillId="0" borderId="35" xfId="22" applyFont="1" applyBorder="1">
      <alignment/>
      <protection/>
    </xf>
    <xf numFmtId="3" fontId="2" fillId="0" borderId="76" xfId="22" applyNumberFormat="1" applyFont="1" applyBorder="1">
      <alignment/>
      <protection/>
    </xf>
    <xf numFmtId="3" fontId="28" fillId="0" borderId="35" xfId="22" applyNumberFormat="1" applyFont="1" applyBorder="1">
      <alignment/>
      <protection/>
    </xf>
    <xf numFmtId="3" fontId="2" fillId="0" borderId="35" xfId="22" applyNumberFormat="1" applyFont="1" applyBorder="1">
      <alignment/>
      <protection/>
    </xf>
    <xf numFmtId="3" fontId="2" fillId="0" borderId="35" xfId="22" applyNumberFormat="1" applyFont="1" applyBorder="1">
      <alignment/>
      <protection/>
    </xf>
    <xf numFmtId="3" fontId="28" fillId="0" borderId="45" xfId="22" applyNumberFormat="1" applyFont="1" applyBorder="1">
      <alignment/>
      <protection/>
    </xf>
    <xf numFmtId="0" fontId="17" fillId="0" borderId="19" xfId="24" applyFont="1" applyBorder="1" applyAlignment="1">
      <alignment wrapText="1"/>
      <protection/>
    </xf>
    <xf numFmtId="0" fontId="14" fillId="0" borderId="91" xfId="0" applyFont="1" applyBorder="1" applyAlignment="1">
      <alignment/>
    </xf>
    <xf numFmtId="0" fontId="31" fillId="0" borderId="34" xfId="0" applyFont="1" applyBorder="1" applyAlignment="1">
      <alignment/>
    </xf>
    <xf numFmtId="0" fontId="14" fillId="0" borderId="34" xfId="0" applyFont="1" applyBorder="1" applyAlignment="1">
      <alignment/>
    </xf>
    <xf numFmtId="0" fontId="6" fillId="0" borderId="24" xfId="24" applyFont="1" applyBorder="1">
      <alignment/>
      <protection/>
    </xf>
    <xf numFmtId="3" fontId="14" fillId="0" borderId="37" xfId="21" applyNumberFormat="1" applyFont="1" applyBorder="1" applyAlignment="1">
      <alignment horizontal="center"/>
      <protection/>
    </xf>
    <xf numFmtId="3" fontId="9" fillId="0" borderId="11" xfId="21" applyNumberFormat="1" applyFont="1" applyBorder="1">
      <alignment/>
      <protection/>
    </xf>
    <xf numFmtId="3" fontId="14" fillId="0" borderId="11" xfId="21" applyNumberFormat="1" applyFont="1" applyBorder="1">
      <alignment/>
      <protection/>
    </xf>
    <xf numFmtId="3" fontId="32" fillId="0" borderId="14" xfId="21" applyNumberFormat="1" applyFont="1" applyBorder="1">
      <alignment/>
      <protection/>
    </xf>
    <xf numFmtId="3" fontId="31" fillId="0" borderId="11" xfId="21" applyNumberFormat="1" applyFont="1" applyBorder="1">
      <alignment/>
      <protection/>
    </xf>
    <xf numFmtId="0" fontId="9" fillId="0" borderId="26" xfId="21" applyFont="1" applyBorder="1">
      <alignment/>
      <protection/>
    </xf>
    <xf numFmtId="0" fontId="4" fillId="0" borderId="1" xfId="0" applyFont="1" applyBorder="1" applyAlignment="1">
      <alignment horizontal="left" vertical="center"/>
    </xf>
    <xf numFmtId="3" fontId="4" fillId="0" borderId="1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/>
    </xf>
    <xf numFmtId="0" fontId="4" fillId="0" borderId="37" xfId="21" applyFont="1" applyBorder="1" applyAlignment="1">
      <alignment horizontal="center"/>
      <protection/>
    </xf>
    <xf numFmtId="0" fontId="14" fillId="0" borderId="11" xfId="21" applyFont="1" applyBorder="1" applyAlignment="1">
      <alignment horizontal="center"/>
      <protection/>
    </xf>
    <xf numFmtId="3" fontId="14" fillId="0" borderId="14" xfId="21" applyNumberFormat="1" applyFont="1" applyBorder="1">
      <alignment/>
      <protection/>
    </xf>
    <xf numFmtId="0" fontId="9" fillId="0" borderId="92" xfId="0" applyFont="1" applyBorder="1" applyAlignment="1">
      <alignment/>
    </xf>
    <xf numFmtId="3" fontId="9" fillId="0" borderId="93" xfId="0" applyNumberFormat="1" applyFont="1" applyBorder="1" applyAlignment="1">
      <alignment/>
    </xf>
    <xf numFmtId="0" fontId="9" fillId="0" borderId="92" xfId="21" applyFont="1" applyBorder="1">
      <alignment/>
      <protection/>
    </xf>
    <xf numFmtId="0" fontId="9" fillId="0" borderId="94" xfId="21" applyFont="1" applyBorder="1" applyAlignment="1">
      <alignment wrapText="1"/>
      <protection/>
    </xf>
    <xf numFmtId="3" fontId="9" fillId="0" borderId="35" xfId="21" applyNumberFormat="1" applyFont="1" applyBorder="1">
      <alignment/>
      <protection/>
    </xf>
    <xf numFmtId="3" fontId="14" fillId="0" borderId="35" xfId="21" applyNumberFormat="1" applyFont="1" applyBorder="1">
      <alignment/>
      <protection/>
    </xf>
    <xf numFmtId="0" fontId="9" fillId="0" borderId="34" xfId="21" applyFont="1" applyBorder="1" applyAlignment="1">
      <alignment wrapText="1"/>
      <protection/>
    </xf>
    <xf numFmtId="3" fontId="9" fillId="0" borderId="87" xfId="20" applyNumberFormat="1" applyFont="1" applyBorder="1">
      <alignment/>
      <protection/>
    </xf>
    <xf numFmtId="3" fontId="14" fillId="0" borderId="87" xfId="20" applyNumberFormat="1" applyFont="1" applyBorder="1">
      <alignment/>
      <protection/>
    </xf>
    <xf numFmtId="3" fontId="9" fillId="0" borderId="87" xfId="20" applyNumberFormat="1" applyFont="1" applyBorder="1" applyAlignment="1">
      <alignment horizontal="right"/>
      <protection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3" fillId="0" borderId="11" xfId="0" applyFont="1" applyBorder="1" applyAlignment="1">
      <alignment/>
    </xf>
    <xf numFmtId="0" fontId="4" fillId="0" borderId="11" xfId="0" applyFont="1" applyBorder="1" applyAlignment="1">
      <alignment/>
    </xf>
    <xf numFmtId="0" fontId="27" fillId="0" borderId="11" xfId="0" applyFont="1" applyBorder="1" applyAlignment="1">
      <alignment/>
    </xf>
    <xf numFmtId="3" fontId="3" fillId="0" borderId="26" xfId="0" applyNumberFormat="1" applyFont="1" applyBorder="1" applyAlignment="1">
      <alignment/>
    </xf>
    <xf numFmtId="3" fontId="27" fillId="0" borderId="26" xfId="0" applyNumberFormat="1" applyFont="1" applyBorder="1" applyAlignment="1">
      <alignment/>
    </xf>
    <xf numFmtId="3" fontId="3" fillId="0" borderId="95" xfId="0" applyNumberFormat="1" applyFont="1" applyBorder="1" applyAlignment="1">
      <alignment/>
    </xf>
    <xf numFmtId="3" fontId="4" fillId="0" borderId="95" xfId="0" applyNumberFormat="1" applyFont="1" applyBorder="1" applyAlignment="1">
      <alignment/>
    </xf>
    <xf numFmtId="0" fontId="3" fillId="0" borderId="11" xfId="0" applyFont="1" applyBorder="1" applyAlignment="1">
      <alignment wrapText="1"/>
    </xf>
    <xf numFmtId="49" fontId="3" fillId="0" borderId="1" xfId="0" applyNumberFormat="1" applyFont="1" applyBorder="1" applyAlignment="1">
      <alignment/>
    </xf>
    <xf numFmtId="49" fontId="3" fillId="0" borderId="11" xfId="0" applyNumberFormat="1" applyFont="1" applyBorder="1" applyAlignment="1">
      <alignment/>
    </xf>
    <xf numFmtId="3" fontId="3" fillId="0" borderId="95" xfId="0" applyNumberFormat="1" applyFont="1" applyBorder="1" applyAlignment="1">
      <alignment/>
    </xf>
    <xf numFmtId="0" fontId="4" fillId="0" borderId="1" xfId="0" applyFont="1" applyBorder="1" applyAlignment="1">
      <alignment horizontal="left" wrapText="1"/>
    </xf>
    <xf numFmtId="0" fontId="3" fillId="0" borderId="11" xfId="0" applyFont="1" applyBorder="1" applyAlignment="1">
      <alignment horizontal="left" wrapText="1"/>
    </xf>
    <xf numFmtId="3" fontId="4" fillId="0" borderId="95" xfId="0" applyNumberFormat="1" applyFont="1" applyBorder="1" applyAlignment="1">
      <alignment/>
    </xf>
    <xf numFmtId="0" fontId="27" fillId="0" borderId="11" xfId="0" applyFont="1" applyBorder="1" applyAlignment="1">
      <alignment/>
    </xf>
    <xf numFmtId="3" fontId="5" fillId="0" borderId="95" xfId="0" applyNumberFormat="1" applyFont="1" applyBorder="1" applyAlignment="1">
      <alignment/>
    </xf>
    <xf numFmtId="3" fontId="4" fillId="0" borderId="96" xfId="0" applyNumberFormat="1" applyFont="1" applyBorder="1" applyAlignment="1">
      <alignment/>
    </xf>
    <xf numFmtId="0" fontId="4" fillId="0" borderId="97" xfId="0" applyFont="1" applyBorder="1" applyAlignment="1">
      <alignment horizontal="center" vertical="center" wrapText="1"/>
    </xf>
    <xf numFmtId="0" fontId="4" fillId="0" borderId="98" xfId="0" applyFont="1" applyBorder="1" applyAlignment="1">
      <alignment horizontal="centerContinuous"/>
    </xf>
    <xf numFmtId="0" fontId="4" fillId="0" borderId="99" xfId="0" applyFont="1" applyBorder="1" applyAlignment="1">
      <alignment horizontal="centerContinuous"/>
    </xf>
    <xf numFmtId="0" fontId="4" fillId="0" borderId="100" xfId="0" applyFont="1" applyBorder="1" applyAlignment="1">
      <alignment/>
    </xf>
    <xf numFmtId="0" fontId="3" fillId="0" borderId="100" xfId="0" applyFont="1" applyBorder="1" applyAlignment="1">
      <alignment/>
    </xf>
    <xf numFmtId="0" fontId="4" fillId="0" borderId="100" xfId="0" applyFont="1" applyBorder="1" applyAlignment="1">
      <alignment/>
    </xf>
    <xf numFmtId="0" fontId="5" fillId="0" borderId="100" xfId="0" applyFont="1" applyBorder="1" applyAlignment="1">
      <alignment/>
    </xf>
    <xf numFmtId="0" fontId="0" fillId="0" borderId="0" xfId="0" applyFont="1" applyAlignment="1">
      <alignment/>
    </xf>
    <xf numFmtId="0" fontId="27" fillId="0" borderId="1" xfId="0" applyFont="1" applyBorder="1" applyAlignment="1">
      <alignment/>
    </xf>
    <xf numFmtId="3" fontId="27" fillId="0" borderId="11" xfId="0" applyNumberFormat="1" applyFont="1" applyBorder="1" applyAlignment="1">
      <alignment horizontal="right" vertical="center" wrapText="1"/>
    </xf>
    <xf numFmtId="3" fontId="27" fillId="0" borderId="26" xfId="0" applyNumberFormat="1" applyFont="1" applyBorder="1" applyAlignment="1">
      <alignment horizontal="right" vertical="center" wrapText="1"/>
    </xf>
    <xf numFmtId="0" fontId="27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shrinkToFit="1"/>
    </xf>
    <xf numFmtId="0" fontId="27" fillId="0" borderId="1" xfId="0" applyFont="1" applyBorder="1" applyAlignment="1">
      <alignment shrinkToFit="1"/>
    </xf>
    <xf numFmtId="3" fontId="27" fillId="0" borderId="11" xfId="0" applyNumberFormat="1" applyFont="1" applyBorder="1" applyAlignment="1">
      <alignment/>
    </xf>
    <xf numFmtId="0" fontId="27" fillId="0" borderId="1" xfId="0" applyFont="1" applyBorder="1" applyAlignment="1">
      <alignment wrapText="1"/>
    </xf>
    <xf numFmtId="0" fontId="27" fillId="0" borderId="1" xfId="0" applyFont="1" applyBorder="1" applyAlignment="1">
      <alignment/>
    </xf>
    <xf numFmtId="0" fontId="4" fillId="0" borderId="9" xfId="0" applyFont="1" applyBorder="1" applyAlignment="1">
      <alignment/>
    </xf>
    <xf numFmtId="0" fontId="4" fillId="0" borderId="37" xfId="0" applyFont="1" applyBorder="1" applyAlignment="1">
      <alignment/>
    </xf>
    <xf numFmtId="3" fontId="4" fillId="0" borderId="101" xfId="0" applyNumberFormat="1" applyFont="1" applyBorder="1" applyAlignment="1">
      <alignment/>
    </xf>
    <xf numFmtId="0" fontId="3" fillId="0" borderId="95" xfId="0" applyFont="1" applyBorder="1" applyAlignment="1">
      <alignment/>
    </xf>
    <xf numFmtId="0" fontId="27" fillId="0" borderId="1" xfId="0" applyFont="1" applyBorder="1" applyAlignment="1">
      <alignment/>
    </xf>
    <xf numFmtId="3" fontId="27" fillId="0" borderId="11" xfId="0" applyNumberFormat="1" applyFont="1" applyBorder="1" applyAlignment="1">
      <alignment wrapText="1"/>
    </xf>
    <xf numFmtId="3" fontId="27" fillId="0" borderId="10" xfId="0" applyNumberFormat="1" applyFont="1" applyBorder="1" applyAlignment="1">
      <alignment wrapText="1"/>
    </xf>
    <xf numFmtId="3" fontId="27" fillId="0" borderId="26" xfId="0" applyNumberFormat="1" applyFont="1" applyBorder="1" applyAlignment="1">
      <alignment/>
    </xf>
    <xf numFmtId="0" fontId="3" fillId="0" borderId="1" xfId="0" applyFont="1" applyBorder="1" applyAlignment="1">
      <alignment/>
    </xf>
    <xf numFmtId="3" fontId="3" fillId="0" borderId="11" xfId="0" applyNumberFormat="1" applyFont="1" applyBorder="1" applyAlignment="1">
      <alignment wrapText="1"/>
    </xf>
    <xf numFmtId="3" fontId="3" fillId="0" borderId="10" xfId="0" applyNumberFormat="1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1" xfId="0" applyFont="1" applyBorder="1" applyAlignment="1">
      <alignment horizontal="left" wrapText="1"/>
    </xf>
    <xf numFmtId="0" fontId="8" fillId="0" borderId="0" xfId="0" applyFont="1" applyBorder="1" applyAlignment="1">
      <alignment/>
    </xf>
    <xf numFmtId="3" fontId="4" fillId="0" borderId="11" xfId="0" applyNumberFormat="1" applyFont="1" applyBorder="1" applyAlignment="1">
      <alignment wrapText="1"/>
    </xf>
    <xf numFmtId="3" fontId="4" fillId="0" borderId="10" xfId="0" applyNumberFormat="1" applyFont="1" applyBorder="1" applyAlignment="1">
      <alignment wrapText="1"/>
    </xf>
    <xf numFmtId="0" fontId="4" fillId="0" borderId="0" xfId="0" applyFont="1" applyBorder="1" applyAlignment="1">
      <alignment/>
    </xf>
    <xf numFmtId="0" fontId="7" fillId="0" borderId="0" xfId="0" applyFont="1" applyAlignment="1">
      <alignment/>
    </xf>
    <xf numFmtId="37" fontId="3" fillId="0" borderId="11" xfId="0" applyNumberFormat="1" applyFont="1" applyBorder="1" applyAlignment="1">
      <alignment wrapText="1"/>
    </xf>
    <xf numFmtId="0" fontId="29" fillId="0" borderId="0" xfId="0" applyFont="1" applyBorder="1" applyAlignment="1">
      <alignment/>
    </xf>
    <xf numFmtId="0" fontId="27" fillId="0" borderId="13" xfId="0" applyFont="1" applyBorder="1" applyAlignment="1">
      <alignment/>
    </xf>
    <xf numFmtId="0" fontId="3" fillId="0" borderId="13" xfId="0" applyFont="1" applyBorder="1" applyAlignment="1">
      <alignment wrapText="1"/>
    </xf>
    <xf numFmtId="3" fontId="3" fillId="0" borderId="25" xfId="0" applyNumberFormat="1" applyFont="1" applyBorder="1" applyAlignment="1">
      <alignment wrapText="1"/>
    </xf>
    <xf numFmtId="3" fontId="3" fillId="0" borderId="50" xfId="0" applyNumberFormat="1" applyFont="1" applyBorder="1" applyAlignment="1">
      <alignment wrapText="1"/>
    </xf>
    <xf numFmtId="0" fontId="4" fillId="0" borderId="102" xfId="0" applyFont="1" applyBorder="1" applyAlignment="1">
      <alignment/>
    </xf>
    <xf numFmtId="0" fontId="3" fillId="0" borderId="37" xfId="0" applyFont="1" applyBorder="1" applyAlignment="1">
      <alignment/>
    </xf>
    <xf numFmtId="3" fontId="4" fillId="0" borderId="29" xfId="0" applyNumberFormat="1" applyFont="1" applyBorder="1" applyAlignment="1">
      <alignment/>
    </xf>
    <xf numFmtId="0" fontId="3" fillId="0" borderId="26" xfId="0" applyFont="1" applyBorder="1" applyAlignment="1">
      <alignment/>
    </xf>
    <xf numFmtId="3" fontId="4" fillId="0" borderId="103" xfId="0" applyNumberFormat="1" applyFont="1" applyBorder="1" applyAlignment="1">
      <alignment/>
    </xf>
    <xf numFmtId="3" fontId="4" fillId="0" borderId="14" xfId="0" applyNumberFormat="1" applyFont="1" applyBorder="1" applyAlignment="1">
      <alignment/>
    </xf>
    <xf numFmtId="3" fontId="4" fillId="0" borderId="27" xfId="0" applyNumberFormat="1" applyFont="1" applyBorder="1" applyAlignment="1">
      <alignment/>
    </xf>
    <xf numFmtId="0" fontId="27" fillId="0" borderId="13" xfId="0" applyFont="1" applyBorder="1" applyAlignment="1">
      <alignment wrapText="1"/>
    </xf>
    <xf numFmtId="3" fontId="3" fillId="0" borderId="0" xfId="0" applyNumberFormat="1" applyFont="1" applyBorder="1" applyAlignment="1">
      <alignment/>
    </xf>
    <xf numFmtId="0" fontId="6" fillId="0" borderId="16" xfId="24" applyFont="1" applyBorder="1">
      <alignment/>
      <protection/>
    </xf>
    <xf numFmtId="3" fontId="17" fillId="0" borderId="16" xfId="24" applyNumberFormat="1" applyFont="1" applyBorder="1">
      <alignment/>
      <protection/>
    </xf>
    <xf numFmtId="0" fontId="33" fillId="0" borderId="0" xfId="23">
      <alignment/>
      <protection/>
    </xf>
    <xf numFmtId="0" fontId="51" fillId="0" borderId="11" xfId="23" applyFont="1" applyFill="1" applyBorder="1" applyAlignment="1">
      <alignment horizontal="center" vertical="center" wrapText="1"/>
      <protection/>
    </xf>
    <xf numFmtId="0" fontId="51" fillId="0" borderId="70" xfId="23" applyFont="1" applyFill="1" applyBorder="1" applyAlignment="1">
      <alignment horizontal="center" vertical="center" wrapText="1"/>
      <protection/>
    </xf>
    <xf numFmtId="0" fontId="9" fillId="0" borderId="11" xfId="23" applyFont="1" applyBorder="1" applyAlignment="1">
      <alignment vertical="center" wrapText="1"/>
      <protection/>
    </xf>
    <xf numFmtId="3" fontId="9" fillId="0" borderId="11" xfId="23" applyNumberFormat="1" applyFont="1" applyBorder="1" applyAlignment="1">
      <alignment vertical="center"/>
      <protection/>
    </xf>
    <xf numFmtId="3" fontId="33" fillId="0" borderId="0" xfId="23" applyNumberFormat="1">
      <alignment/>
      <protection/>
    </xf>
    <xf numFmtId="0" fontId="14" fillId="0" borderId="11" xfId="23" applyFont="1" applyBorder="1" applyAlignment="1">
      <alignment vertical="center" wrapText="1"/>
      <protection/>
    </xf>
    <xf numFmtId="3" fontId="14" fillId="0" borderId="11" xfId="23" applyNumberFormat="1" applyFont="1" applyBorder="1" applyAlignment="1">
      <alignment vertical="center"/>
      <protection/>
    </xf>
    <xf numFmtId="0" fontId="38" fillId="0" borderId="0" xfId="23" applyFont="1">
      <alignment/>
      <protection/>
    </xf>
    <xf numFmtId="0" fontId="38" fillId="0" borderId="0" xfId="23" applyFont="1">
      <alignment/>
      <protection/>
    </xf>
    <xf numFmtId="3" fontId="38" fillId="0" borderId="0" xfId="23" applyNumberFormat="1" applyFont="1">
      <alignment/>
      <protection/>
    </xf>
    <xf numFmtId="3" fontId="52" fillId="0" borderId="0" xfId="23" applyNumberFormat="1" applyFont="1">
      <alignment/>
      <protection/>
    </xf>
    <xf numFmtId="3" fontId="14" fillId="0" borderId="93" xfId="0" applyNumberFormat="1" applyFont="1" applyBorder="1" applyAlignment="1">
      <alignment/>
    </xf>
    <xf numFmtId="0" fontId="14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4" fillId="0" borderId="92" xfId="21" applyFont="1" applyBorder="1">
      <alignment/>
      <protection/>
    </xf>
    <xf numFmtId="0" fontId="9" fillId="0" borderId="104" xfId="21" applyFont="1" applyBorder="1">
      <alignment/>
      <protection/>
    </xf>
    <xf numFmtId="0" fontId="14" fillId="0" borderId="46" xfId="0" applyFont="1" applyBorder="1" applyAlignment="1">
      <alignment/>
    </xf>
    <xf numFmtId="3" fontId="14" fillId="0" borderId="47" xfId="0" applyNumberFormat="1" applyFont="1" applyBorder="1" applyAlignment="1">
      <alignment/>
    </xf>
    <xf numFmtId="0" fontId="9" fillId="0" borderId="46" xfId="0" applyFont="1" applyBorder="1" applyAlignment="1">
      <alignment/>
    </xf>
    <xf numFmtId="3" fontId="9" fillId="0" borderId="47" xfId="0" applyNumberFormat="1" applyFont="1" applyBorder="1" applyAlignment="1">
      <alignment/>
    </xf>
    <xf numFmtId="0" fontId="14" fillId="0" borderId="85" xfId="0" applyFont="1" applyBorder="1" applyAlignment="1">
      <alignment/>
    </xf>
    <xf numFmtId="0" fontId="14" fillId="0" borderId="105" xfId="0" applyFont="1" applyBorder="1" applyAlignment="1">
      <alignment/>
    </xf>
    <xf numFmtId="0" fontId="14" fillId="0" borderId="106" xfId="0" applyFont="1" applyBorder="1" applyAlignment="1">
      <alignment horizontal="center"/>
    </xf>
    <xf numFmtId="3" fontId="14" fillId="0" borderId="76" xfId="0" applyNumberFormat="1" applyFont="1" applyBorder="1" applyAlignment="1">
      <alignment horizontal="right"/>
    </xf>
    <xf numFmtId="3" fontId="14" fillId="0" borderId="35" xfId="21" applyNumberFormat="1" applyFont="1" applyBorder="1">
      <alignment/>
      <protection/>
    </xf>
    <xf numFmtId="0" fontId="14" fillId="0" borderId="0" xfId="0" applyFont="1" applyAlignment="1">
      <alignment/>
    </xf>
    <xf numFmtId="0" fontId="9" fillId="0" borderId="34" xfId="0" applyFont="1" applyBorder="1" applyAlignment="1">
      <alignment wrapText="1"/>
    </xf>
    <xf numFmtId="0" fontId="9" fillId="0" borderId="34" xfId="21" applyFont="1" applyBorder="1">
      <alignment/>
      <protection/>
    </xf>
    <xf numFmtId="0" fontId="14" fillId="0" borderId="34" xfId="21" applyFont="1" applyBorder="1" applyAlignment="1">
      <alignment wrapText="1"/>
      <protection/>
    </xf>
    <xf numFmtId="0" fontId="14" fillId="0" borderId="34" xfId="21" applyFont="1" applyBorder="1" applyAlignment="1">
      <alignment wrapText="1"/>
      <protection/>
    </xf>
    <xf numFmtId="0" fontId="32" fillId="0" borderId="85" xfId="0" applyFont="1" applyBorder="1" applyAlignment="1">
      <alignment horizontal="left" vertical="center"/>
    </xf>
    <xf numFmtId="0" fontId="14" fillId="0" borderId="76" xfId="0" applyFont="1" applyBorder="1" applyAlignment="1">
      <alignment horizontal="center" vertical="center" wrapText="1"/>
    </xf>
    <xf numFmtId="0" fontId="9" fillId="0" borderId="107" xfId="0" applyFont="1" applyBorder="1" applyAlignment="1">
      <alignment/>
    </xf>
    <xf numFmtId="0" fontId="9" fillId="0" borderId="108" xfId="0" applyFont="1" applyBorder="1" applyAlignment="1">
      <alignment/>
    </xf>
    <xf numFmtId="3" fontId="4" fillId="0" borderId="26" xfId="0" applyNumberFormat="1" applyFont="1" applyBorder="1" applyAlignment="1">
      <alignment horizontal="right" vertical="center" wrapText="1"/>
    </xf>
    <xf numFmtId="0" fontId="50" fillId="0" borderId="0" xfId="23" applyFont="1" applyFill="1" applyBorder="1" applyAlignment="1">
      <alignment horizontal="center" vertical="center"/>
      <protection/>
    </xf>
    <xf numFmtId="1" fontId="9" fillId="0" borderId="109" xfId="20" applyNumberFormat="1" applyFont="1" applyBorder="1" applyAlignment="1">
      <alignment horizontal="center"/>
      <protection/>
    </xf>
    <xf numFmtId="0" fontId="9" fillId="0" borderId="110" xfId="20" applyFont="1" applyBorder="1" applyAlignment="1">
      <alignment/>
      <protection/>
    </xf>
    <xf numFmtId="0" fontId="41" fillId="0" borderId="110" xfId="20" applyFont="1" applyBorder="1">
      <alignment/>
      <protection/>
    </xf>
    <xf numFmtId="3" fontId="9" fillId="0" borderId="110" xfId="20" applyNumberFormat="1" applyFont="1" applyBorder="1">
      <alignment/>
      <protection/>
    </xf>
    <xf numFmtId="3" fontId="9" fillId="0" borderId="110" xfId="20" applyNumberFormat="1" applyFont="1" applyBorder="1" applyAlignment="1">
      <alignment horizontal="right"/>
      <protection/>
    </xf>
    <xf numFmtId="3" fontId="9" fillId="0" borderId="111" xfId="20" applyNumberFormat="1" applyFont="1" applyBorder="1" applyAlignment="1">
      <alignment horizontal="right"/>
      <protection/>
    </xf>
    <xf numFmtId="0" fontId="9" fillId="0" borderId="104" xfId="0" applyFont="1" applyBorder="1" applyAlignment="1">
      <alignment/>
    </xf>
    <xf numFmtId="0" fontId="51" fillId="0" borderId="37" xfId="23" applyFont="1" applyFill="1" applyBorder="1" applyAlignment="1">
      <alignment horizontal="center" vertical="center"/>
      <protection/>
    </xf>
    <xf numFmtId="0" fontId="51" fillId="0" borderId="1" xfId="23" applyFont="1" applyFill="1" applyBorder="1" applyAlignment="1">
      <alignment horizontal="center" vertical="center" wrapText="1"/>
      <protection/>
    </xf>
    <xf numFmtId="0" fontId="9" fillId="0" borderId="1" xfId="23" applyFont="1" applyBorder="1" applyAlignment="1">
      <alignment horizontal="left" vertical="center" wrapText="1"/>
      <protection/>
    </xf>
    <xf numFmtId="3" fontId="9" fillId="0" borderId="26" xfId="23" applyNumberFormat="1" applyFont="1" applyBorder="1" applyAlignment="1">
      <alignment vertical="center"/>
      <protection/>
    </xf>
    <xf numFmtId="0" fontId="14" fillId="0" borderId="1" xfId="23" applyFont="1" applyBorder="1" applyAlignment="1">
      <alignment horizontal="left" vertical="center" wrapText="1"/>
      <protection/>
    </xf>
    <xf numFmtId="3" fontId="14" fillId="0" borderId="26" xfId="23" applyNumberFormat="1" applyFont="1" applyBorder="1" applyAlignment="1">
      <alignment vertical="center"/>
      <protection/>
    </xf>
    <xf numFmtId="0" fontId="14" fillId="0" borderId="7" xfId="23" applyFont="1" applyBorder="1" applyAlignment="1">
      <alignment horizontal="left" vertical="center" wrapText="1"/>
      <protection/>
    </xf>
    <xf numFmtId="0" fontId="14" fillId="0" borderId="14" xfId="23" applyFont="1" applyBorder="1" applyAlignment="1">
      <alignment vertical="center" wrapText="1"/>
      <protection/>
    </xf>
    <xf numFmtId="3" fontId="14" fillId="0" borderId="14" xfId="23" applyNumberFormat="1" applyFont="1" applyBorder="1" applyAlignment="1">
      <alignment vertical="center"/>
      <protection/>
    </xf>
    <xf numFmtId="3" fontId="14" fillId="0" borderId="27" xfId="23" applyNumberFormat="1" applyFont="1" applyBorder="1" applyAlignment="1">
      <alignment vertical="center"/>
      <protection/>
    </xf>
    <xf numFmtId="3" fontId="9" fillId="0" borderId="1" xfId="23" applyNumberFormat="1" applyFont="1" applyBorder="1" applyAlignment="1">
      <alignment vertical="center"/>
      <protection/>
    </xf>
    <xf numFmtId="3" fontId="14" fillId="0" borderId="1" xfId="23" applyNumberFormat="1" applyFont="1" applyBorder="1" applyAlignment="1">
      <alignment vertical="center"/>
      <protection/>
    </xf>
    <xf numFmtId="3" fontId="14" fillId="0" borderId="7" xfId="23" applyNumberFormat="1" applyFont="1" applyBorder="1" applyAlignment="1">
      <alignment vertical="center"/>
      <protection/>
    </xf>
    <xf numFmtId="0" fontId="4" fillId="0" borderId="0" xfId="24" applyFont="1" applyAlignment="1">
      <alignment horizontal="left"/>
      <protection/>
    </xf>
    <xf numFmtId="0" fontId="9" fillId="0" borderId="0" xfId="25" applyFont="1">
      <alignment/>
      <protection/>
    </xf>
    <xf numFmtId="0" fontId="14" fillId="0" borderId="0" xfId="25" applyFont="1" applyAlignment="1">
      <alignment horizontal="right"/>
      <protection/>
    </xf>
    <xf numFmtId="0" fontId="14" fillId="0" borderId="9" xfId="25" applyFont="1" applyBorder="1">
      <alignment/>
      <protection/>
    </xf>
    <xf numFmtId="0" fontId="14" fillId="0" borderId="37" xfId="25" applyFont="1" applyBorder="1" applyAlignment="1">
      <alignment horizontal="center"/>
      <protection/>
    </xf>
    <xf numFmtId="0" fontId="14" fillId="0" borderId="36" xfId="25" applyFont="1" applyBorder="1" applyAlignment="1">
      <alignment horizontal="center"/>
      <protection/>
    </xf>
    <xf numFmtId="0" fontId="14" fillId="0" borderId="29" xfId="25" applyFont="1" applyBorder="1" applyAlignment="1">
      <alignment horizontal="center"/>
      <protection/>
    </xf>
    <xf numFmtId="0" fontId="14" fillId="0" borderId="12" xfId="25" applyFont="1" applyBorder="1">
      <alignment/>
      <protection/>
    </xf>
    <xf numFmtId="3" fontId="14" fillId="0" borderId="3" xfId="25" applyNumberFormat="1" applyFont="1" applyBorder="1" applyAlignment="1">
      <alignment horizontal="right"/>
      <protection/>
    </xf>
    <xf numFmtId="0" fontId="14" fillId="0" borderId="38" xfId="25" applyFont="1" applyBorder="1" applyAlignment="1">
      <alignment horizontal="center"/>
      <protection/>
    </xf>
    <xf numFmtId="0" fontId="9" fillId="0" borderId="1" xfId="25" applyFont="1" applyBorder="1">
      <alignment/>
      <protection/>
    </xf>
    <xf numFmtId="3" fontId="9" fillId="0" borderId="11" xfId="25" applyNumberFormat="1" applyFont="1" applyBorder="1">
      <alignment/>
      <protection/>
    </xf>
    <xf numFmtId="3" fontId="9" fillId="0" borderId="3" xfId="25" applyNumberFormat="1" applyFont="1" applyBorder="1">
      <alignment/>
      <protection/>
    </xf>
    <xf numFmtId="3" fontId="9" fillId="0" borderId="10" xfId="25" applyNumberFormat="1" applyFont="1" applyBorder="1">
      <alignment/>
      <protection/>
    </xf>
    <xf numFmtId="3" fontId="9" fillId="0" borderId="69" xfId="25" applyNumberFormat="1" applyFont="1" applyFill="1" applyBorder="1">
      <alignment/>
      <protection/>
    </xf>
    <xf numFmtId="3" fontId="14" fillId="0" borderId="26" xfId="25" applyNumberFormat="1" applyFont="1" applyBorder="1">
      <alignment/>
      <protection/>
    </xf>
    <xf numFmtId="3" fontId="9" fillId="0" borderId="0" xfId="25" applyNumberFormat="1" applyFont="1">
      <alignment/>
      <protection/>
    </xf>
    <xf numFmtId="0" fontId="9" fillId="0" borderId="1" xfId="25" applyFont="1" applyBorder="1" applyAlignment="1">
      <alignment vertical="center" wrapText="1"/>
      <protection/>
    </xf>
    <xf numFmtId="0" fontId="14" fillId="0" borderId="1" xfId="25" applyFont="1" applyFill="1" applyBorder="1">
      <alignment/>
      <protection/>
    </xf>
    <xf numFmtId="3" fontId="14" fillId="0" borderId="11" xfId="25" applyNumberFormat="1" applyFont="1" applyBorder="1">
      <alignment/>
      <protection/>
    </xf>
    <xf numFmtId="0" fontId="9" fillId="0" borderId="1" xfId="25" applyFont="1" applyFill="1" applyBorder="1">
      <alignment/>
      <protection/>
    </xf>
    <xf numFmtId="3" fontId="14" fillId="0" borderId="10" xfId="25" applyNumberFormat="1" applyFont="1" applyBorder="1">
      <alignment/>
      <protection/>
    </xf>
    <xf numFmtId="0" fontId="14" fillId="0" borderId="1" xfId="25" applyFont="1" applyBorder="1">
      <alignment/>
      <protection/>
    </xf>
    <xf numFmtId="0" fontId="9" fillId="0" borderId="1" xfId="25" applyFont="1" applyFill="1" applyBorder="1" applyAlignment="1">
      <alignment vertical="center" wrapText="1"/>
      <protection/>
    </xf>
    <xf numFmtId="3" fontId="9" fillId="0" borderId="25" xfId="25" applyNumberFormat="1" applyFont="1" applyBorder="1">
      <alignment/>
      <protection/>
    </xf>
    <xf numFmtId="3" fontId="9" fillId="0" borderId="50" xfId="25" applyNumberFormat="1" applyFont="1" applyBorder="1">
      <alignment/>
      <protection/>
    </xf>
    <xf numFmtId="0" fontId="9" fillId="0" borderId="13" xfId="25" applyFont="1" applyBorder="1">
      <alignment/>
      <protection/>
    </xf>
    <xf numFmtId="0" fontId="9" fillId="0" borderId="64" xfId="25" applyFont="1" applyBorder="1">
      <alignment/>
      <protection/>
    </xf>
    <xf numFmtId="0" fontId="14" fillId="0" borderId="64" xfId="25" applyFont="1" applyBorder="1">
      <alignment/>
      <protection/>
    </xf>
    <xf numFmtId="3" fontId="14" fillId="0" borderId="25" xfId="25" applyNumberFormat="1" applyFont="1" applyBorder="1">
      <alignment/>
      <protection/>
    </xf>
    <xf numFmtId="0" fontId="31" fillId="0" borderId="7" xfId="25" applyFont="1" applyBorder="1">
      <alignment/>
      <protection/>
    </xf>
    <xf numFmtId="3" fontId="31" fillId="0" borderId="14" xfId="25" applyNumberFormat="1" applyFont="1" applyBorder="1">
      <alignment/>
      <protection/>
    </xf>
    <xf numFmtId="0" fontId="14" fillId="0" borderId="0" xfId="25" applyFont="1">
      <alignment/>
      <protection/>
    </xf>
    <xf numFmtId="3" fontId="14" fillId="0" borderId="43" xfId="25" applyNumberFormat="1" applyFont="1" applyBorder="1">
      <alignment/>
      <protection/>
    </xf>
    <xf numFmtId="3" fontId="31" fillId="0" borderId="27" xfId="25" applyNumberFormat="1" applyFont="1" applyBorder="1">
      <alignment/>
      <protection/>
    </xf>
    <xf numFmtId="0" fontId="47" fillId="0" borderId="0" xfId="21" applyFont="1">
      <alignment/>
      <protection/>
    </xf>
    <xf numFmtId="0" fontId="53" fillId="0" borderId="0" xfId="0" applyFont="1" applyAlignment="1">
      <alignment/>
    </xf>
    <xf numFmtId="0" fontId="2" fillId="0" borderId="0" xfId="0" applyFont="1" applyAlignment="1">
      <alignment/>
    </xf>
    <xf numFmtId="0" fontId="34" fillId="0" borderId="0" xfId="0" applyFont="1" applyAlignment="1">
      <alignment/>
    </xf>
    <xf numFmtId="0" fontId="2" fillId="0" borderId="9" xfId="0" applyFont="1" applyBorder="1" applyAlignment="1">
      <alignment/>
    </xf>
    <xf numFmtId="0" fontId="54" fillId="0" borderId="29" xfId="0" applyFont="1" applyBorder="1" applyAlignment="1">
      <alignment/>
    </xf>
    <xf numFmtId="0" fontId="2" fillId="0" borderId="1" xfId="0" applyFont="1" applyBorder="1" applyAlignment="1">
      <alignment/>
    </xf>
    <xf numFmtId="180" fontId="2" fillId="0" borderId="26" xfId="0" applyNumberFormat="1" applyFont="1" applyBorder="1" applyAlignment="1">
      <alignment horizontal="left"/>
    </xf>
    <xf numFmtId="3" fontId="2" fillId="0" borderId="26" xfId="0" applyNumberFormat="1" applyFont="1" applyBorder="1" applyAlignment="1">
      <alignment horizontal="left"/>
    </xf>
    <xf numFmtId="3" fontId="28" fillId="0" borderId="26" xfId="0" applyNumberFormat="1" applyFont="1" applyBorder="1" applyAlignment="1">
      <alignment horizontal="left"/>
    </xf>
    <xf numFmtId="0" fontId="2" fillId="0" borderId="33" xfId="0" applyFont="1" applyBorder="1" applyAlignment="1">
      <alignment/>
    </xf>
    <xf numFmtId="3" fontId="2" fillId="0" borderId="112" xfId="0" applyNumberFormat="1" applyFont="1" applyBorder="1" applyAlignment="1">
      <alignment horizontal="left"/>
    </xf>
    <xf numFmtId="3" fontId="54" fillId="0" borderId="26" xfId="0" applyNumberFormat="1" applyFont="1" applyBorder="1" applyAlignment="1">
      <alignment horizontal="left"/>
    </xf>
    <xf numFmtId="3" fontId="28" fillId="0" borderId="26" xfId="0" applyNumberFormat="1" applyFont="1" applyBorder="1" applyAlignment="1">
      <alignment horizontal="left"/>
    </xf>
    <xf numFmtId="3" fontId="2" fillId="0" borderId="26" xfId="0" applyNumberFormat="1" applyFont="1" applyBorder="1" applyAlignment="1">
      <alignment horizontal="left"/>
    </xf>
    <xf numFmtId="0" fontId="2" fillId="0" borderId="1" xfId="0" applyFont="1" applyBorder="1" applyAlignment="1">
      <alignment horizontal="left" vertical="center" wrapText="1"/>
    </xf>
    <xf numFmtId="3" fontId="54" fillId="0" borderId="26" xfId="0" applyNumberFormat="1" applyFont="1" applyBorder="1" applyAlignment="1">
      <alignment horizontal="left" vertical="center" wrapText="1"/>
    </xf>
    <xf numFmtId="1" fontId="2" fillId="0" borderId="26" xfId="0" applyNumberFormat="1" applyFont="1" applyBorder="1" applyAlignment="1">
      <alignment horizontal="left"/>
    </xf>
    <xf numFmtId="3" fontId="28" fillId="0" borderId="112" xfId="0" applyNumberFormat="1" applyFont="1" applyBorder="1" applyAlignment="1">
      <alignment horizontal="left"/>
    </xf>
    <xf numFmtId="0" fontId="2" fillId="0" borderId="71" xfId="0" applyFont="1" applyBorder="1" applyAlignment="1">
      <alignment/>
    </xf>
    <xf numFmtId="3" fontId="54" fillId="0" borderId="26" xfId="0" applyNumberFormat="1" applyFont="1" applyBorder="1" applyAlignment="1">
      <alignment horizontal="left" wrapText="1"/>
    </xf>
    <xf numFmtId="0" fontId="2" fillId="0" borderId="7" xfId="0" applyFont="1" applyBorder="1" applyAlignment="1">
      <alignment/>
    </xf>
    <xf numFmtId="3" fontId="28" fillId="0" borderId="27" xfId="0" applyNumberFormat="1" applyFont="1" applyBorder="1" applyAlignment="1">
      <alignment horizontal="left"/>
    </xf>
    <xf numFmtId="0" fontId="2" fillId="0" borderId="12" xfId="0" applyFont="1" applyBorder="1" applyAlignment="1">
      <alignment/>
    </xf>
    <xf numFmtId="0" fontId="55" fillId="0" borderId="38" xfId="0" applyFont="1" applyBorder="1" applyAlignment="1">
      <alignment/>
    </xf>
    <xf numFmtId="0" fontId="54" fillId="0" borderId="26" xfId="0" applyFont="1" applyBorder="1" applyAlignment="1">
      <alignment/>
    </xf>
    <xf numFmtId="0" fontId="2" fillId="0" borderId="26" xfId="0" applyFont="1" applyBorder="1" applyAlignment="1">
      <alignment/>
    </xf>
    <xf numFmtId="0" fontId="55" fillId="0" borderId="26" xfId="0" applyFont="1" applyBorder="1" applyAlignment="1">
      <alignment/>
    </xf>
    <xf numFmtId="0" fontId="28" fillId="0" borderId="9" xfId="0" applyFont="1" applyBorder="1" applyAlignment="1">
      <alignment horizontal="center" vertical="center"/>
    </xf>
    <xf numFmtId="0" fontId="28" fillId="0" borderId="37" xfId="0" applyFont="1" applyBorder="1" applyAlignment="1">
      <alignment horizontal="center" vertical="center" wrapText="1"/>
    </xf>
    <xf numFmtId="0" fontId="28" fillId="0" borderId="29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/>
    </xf>
    <xf numFmtId="0" fontId="2" fillId="0" borderId="11" xfId="0" applyFont="1" applyBorder="1" applyAlignment="1">
      <alignment horizontal="center"/>
    </xf>
    <xf numFmtId="3" fontId="2" fillId="0" borderId="11" xfId="0" applyNumberFormat="1" applyFont="1" applyBorder="1" applyAlignment="1">
      <alignment/>
    </xf>
    <xf numFmtId="3" fontId="2" fillId="0" borderId="26" xfId="0" applyNumberFormat="1" applyFont="1" applyBorder="1" applyAlignment="1">
      <alignment/>
    </xf>
    <xf numFmtId="0" fontId="28" fillId="0" borderId="7" xfId="0" applyFont="1" applyBorder="1" applyAlignment="1">
      <alignment/>
    </xf>
    <xf numFmtId="0" fontId="28" fillId="0" borderId="14" xfId="0" applyFont="1" applyBorder="1" applyAlignment="1">
      <alignment/>
    </xf>
    <xf numFmtId="3" fontId="28" fillId="0" borderId="14" xfId="0" applyNumberFormat="1" applyFont="1" applyBorder="1" applyAlignment="1">
      <alignment/>
    </xf>
    <xf numFmtId="3" fontId="28" fillId="0" borderId="27" xfId="0" applyNumberFormat="1" applyFont="1" applyBorder="1" applyAlignment="1">
      <alignment/>
    </xf>
    <xf numFmtId="0" fontId="2" fillId="0" borderId="12" xfId="0" applyFont="1" applyBorder="1" applyAlignment="1">
      <alignment horizontal="left" vertical="center" wrapText="1"/>
    </xf>
    <xf numFmtId="3" fontId="54" fillId="0" borderId="38" xfId="0" applyNumberFormat="1" applyFont="1" applyBorder="1" applyAlignment="1">
      <alignment horizontal="left" vertical="center" wrapText="1"/>
    </xf>
    <xf numFmtId="0" fontId="2" fillId="0" borderId="30" xfId="0" applyFont="1" applyBorder="1" applyAlignment="1">
      <alignment/>
    </xf>
    <xf numFmtId="3" fontId="2" fillId="0" borderId="113" xfId="0" applyNumberFormat="1" applyFont="1" applyBorder="1" applyAlignment="1">
      <alignment horizontal="left"/>
    </xf>
    <xf numFmtId="3" fontId="54" fillId="0" borderId="38" xfId="0" applyNumberFormat="1" applyFont="1" applyBorder="1" applyAlignment="1">
      <alignment horizontal="left" wrapText="1"/>
    </xf>
    <xf numFmtId="0" fontId="2" fillId="0" borderId="9" xfId="0" applyFont="1" applyBorder="1" applyAlignment="1">
      <alignment horizontal="left" vertical="center" wrapText="1"/>
    </xf>
    <xf numFmtId="3" fontId="54" fillId="0" borderId="29" xfId="0" applyNumberFormat="1" applyFont="1" applyBorder="1" applyAlignment="1">
      <alignment horizontal="left" vertical="center" wrapText="1"/>
    </xf>
    <xf numFmtId="0" fontId="2" fillId="0" borderId="114" xfId="0" applyFont="1" applyBorder="1" applyAlignment="1">
      <alignment/>
    </xf>
    <xf numFmtId="0" fontId="2" fillId="0" borderId="115" xfId="0" applyFont="1" applyBorder="1" applyAlignment="1">
      <alignment/>
    </xf>
    <xf numFmtId="0" fontId="34" fillId="0" borderId="71" xfId="0" applyFont="1" applyBorder="1" applyAlignment="1">
      <alignment/>
    </xf>
    <xf numFmtId="0" fontId="2" fillId="0" borderId="116" xfId="0" applyFont="1" applyBorder="1" applyAlignment="1">
      <alignment/>
    </xf>
    <xf numFmtId="3" fontId="6" fillId="0" borderId="19" xfId="24" applyNumberFormat="1" applyFont="1" applyBorder="1">
      <alignment/>
      <protection/>
    </xf>
    <xf numFmtId="3" fontId="17" fillId="0" borderId="0" xfId="24" applyNumberFormat="1" applyFont="1">
      <alignment/>
      <protection/>
    </xf>
    <xf numFmtId="0" fontId="3" fillId="0" borderId="117" xfId="24" applyFont="1" applyBorder="1">
      <alignment/>
      <protection/>
    </xf>
    <xf numFmtId="3" fontId="23" fillId="0" borderId="19" xfId="24" applyNumberFormat="1" applyFont="1" applyBorder="1">
      <alignment/>
      <protection/>
    </xf>
    <xf numFmtId="3" fontId="23" fillId="0" borderId="24" xfId="24" applyNumberFormat="1" applyFont="1" applyBorder="1">
      <alignment/>
      <protection/>
    </xf>
    <xf numFmtId="3" fontId="23" fillId="0" borderId="21" xfId="24" applyNumberFormat="1" applyFont="1" applyBorder="1">
      <alignment/>
      <protection/>
    </xf>
    <xf numFmtId="3" fontId="23" fillId="0" borderId="118" xfId="24" applyNumberFormat="1" applyFont="1" applyBorder="1">
      <alignment/>
      <protection/>
    </xf>
    <xf numFmtId="0" fontId="16" fillId="0" borderId="119" xfId="24" applyFont="1" applyBorder="1">
      <alignment/>
      <protection/>
    </xf>
    <xf numFmtId="3" fontId="17" fillId="0" borderId="19" xfId="24" applyNumberFormat="1" applyFont="1" applyBorder="1">
      <alignment/>
      <protection/>
    </xf>
    <xf numFmtId="3" fontId="3" fillId="0" borderId="19" xfId="24" applyNumberFormat="1" applyFont="1" applyBorder="1">
      <alignment/>
      <protection/>
    </xf>
    <xf numFmtId="1" fontId="9" fillId="0" borderId="120" xfId="20" applyNumberFormat="1" applyFont="1" applyBorder="1" applyAlignment="1">
      <alignment horizontal="center"/>
      <protection/>
    </xf>
    <xf numFmtId="0" fontId="9" fillId="0" borderId="121" xfId="20" applyFont="1" applyBorder="1" applyAlignment="1">
      <alignment/>
      <protection/>
    </xf>
    <xf numFmtId="0" fontId="41" fillId="0" borderId="121" xfId="20" applyFont="1" applyBorder="1">
      <alignment/>
      <protection/>
    </xf>
    <xf numFmtId="3" fontId="9" fillId="0" borderId="121" xfId="20" applyNumberFormat="1" applyFont="1" applyBorder="1">
      <alignment/>
      <protection/>
    </xf>
    <xf numFmtId="3" fontId="9" fillId="0" borderId="121" xfId="20" applyNumberFormat="1" applyFont="1" applyBorder="1" applyAlignment="1">
      <alignment horizontal="right"/>
      <protection/>
    </xf>
    <xf numFmtId="3" fontId="9" fillId="0" borderId="122" xfId="20" applyNumberFormat="1" applyFont="1" applyBorder="1" applyAlignment="1">
      <alignment horizontal="right"/>
      <protection/>
    </xf>
    <xf numFmtId="1" fontId="9" fillId="0" borderId="44" xfId="20" applyNumberFormat="1" applyFont="1" applyBorder="1" applyAlignment="1">
      <alignment horizontal="center"/>
      <protection/>
    </xf>
    <xf numFmtId="0" fontId="9" fillId="0" borderId="88" xfId="20" applyFont="1" applyBorder="1" applyAlignment="1">
      <alignment/>
      <protection/>
    </xf>
    <xf numFmtId="0" fontId="41" fillId="0" borderId="88" xfId="20" applyFont="1" applyBorder="1">
      <alignment/>
      <protection/>
    </xf>
    <xf numFmtId="3" fontId="9" fillId="0" borderId="88" xfId="20" applyNumberFormat="1" applyFont="1" applyBorder="1">
      <alignment/>
      <protection/>
    </xf>
    <xf numFmtId="3" fontId="9" fillId="0" borderId="123" xfId="20" applyNumberFormat="1" applyFont="1" applyBorder="1">
      <alignment/>
      <protection/>
    </xf>
    <xf numFmtId="3" fontId="9" fillId="0" borderId="88" xfId="20" applyNumberFormat="1" applyFont="1" applyBorder="1" applyAlignment="1">
      <alignment horizontal="right"/>
      <protection/>
    </xf>
    <xf numFmtId="3" fontId="9" fillId="0" borderId="45" xfId="20" applyNumberFormat="1" applyFont="1" applyBorder="1" applyAlignment="1">
      <alignment horizontal="right"/>
      <protection/>
    </xf>
    <xf numFmtId="3" fontId="14" fillId="0" borderId="11" xfId="25" applyNumberFormat="1" applyFont="1" applyBorder="1">
      <alignment/>
      <protection/>
    </xf>
    <xf numFmtId="3" fontId="14" fillId="0" borderId="3" xfId="25" applyNumberFormat="1" applyFont="1" applyBorder="1" applyAlignment="1">
      <alignment horizontal="right"/>
      <protection/>
    </xf>
    <xf numFmtId="3" fontId="14" fillId="0" borderId="4" xfId="25" applyNumberFormat="1" applyFont="1" applyBorder="1" applyAlignment="1">
      <alignment horizontal="right"/>
      <protection/>
    </xf>
    <xf numFmtId="3" fontId="14" fillId="0" borderId="11" xfId="25" applyNumberFormat="1" applyFont="1" applyBorder="1" applyAlignment="1">
      <alignment horizontal="right"/>
      <protection/>
    </xf>
    <xf numFmtId="0" fontId="4" fillId="0" borderId="124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3" fillId="0" borderId="29" xfId="0" applyFont="1" applyBorder="1" applyAlignment="1">
      <alignment/>
    </xf>
    <xf numFmtId="0" fontId="4" fillId="0" borderId="100" xfId="0" applyFont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25" xfId="0" applyFont="1" applyBorder="1" applyAlignment="1">
      <alignment horizontal="center" vertical="center" wrapText="1"/>
    </xf>
    <xf numFmtId="0" fontId="3" fillId="0" borderId="82" xfId="0" applyFont="1" applyBorder="1" applyAlignment="1">
      <alignment horizontal="center" wrapText="1"/>
    </xf>
    <xf numFmtId="0" fontId="3" fillId="0" borderId="126" xfId="0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left" wrapText="1"/>
    </xf>
    <xf numFmtId="49" fontId="3" fillId="0" borderId="11" xfId="0" applyNumberFormat="1" applyFont="1" applyBorder="1" applyAlignment="1">
      <alignment horizontal="left" wrapText="1"/>
    </xf>
    <xf numFmtId="0" fontId="3" fillId="0" borderId="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0" fillId="0" borderId="11" xfId="0" applyBorder="1" applyAlignment="1">
      <alignment/>
    </xf>
    <xf numFmtId="0" fontId="3" fillId="0" borderId="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16" fillId="0" borderId="0" xfId="24" applyFont="1" applyAlignment="1">
      <alignment horizontal="center"/>
      <protection/>
    </xf>
    <xf numFmtId="0" fontId="17" fillId="0" borderId="0" xfId="0" applyFont="1" applyAlignment="1">
      <alignment horizontal="center"/>
    </xf>
    <xf numFmtId="0" fontId="0" fillId="0" borderId="0" xfId="0" applyAlignment="1">
      <alignment/>
    </xf>
    <xf numFmtId="0" fontId="16" fillId="0" borderId="127" xfId="24" applyFont="1" applyBorder="1" applyAlignment="1">
      <alignment horizontal="center"/>
      <protection/>
    </xf>
    <xf numFmtId="0" fontId="18" fillId="0" borderId="84" xfId="0" applyFont="1" applyBorder="1" applyAlignment="1">
      <alignment/>
    </xf>
    <xf numFmtId="0" fontId="18" fillId="0" borderId="72" xfId="0" applyFont="1" applyBorder="1" applyAlignment="1">
      <alignment horizontal="center"/>
    </xf>
    <xf numFmtId="0" fontId="16" fillId="0" borderId="18" xfId="24" applyFont="1" applyBorder="1" applyAlignment="1">
      <alignment horizontal="center"/>
      <protection/>
    </xf>
    <xf numFmtId="0" fontId="18" fillId="0" borderId="18" xfId="0" applyFont="1" applyBorder="1" applyAlignment="1">
      <alignment/>
    </xf>
    <xf numFmtId="0" fontId="16" fillId="0" borderId="0" xfId="0" applyFont="1" applyAlignment="1">
      <alignment horizontal="center" shrinkToFit="1"/>
    </xf>
    <xf numFmtId="0" fontId="16" fillId="0" borderId="0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1" fillId="0" borderId="0" xfId="0" applyFont="1" applyAlignment="1">
      <alignment/>
    </xf>
    <xf numFmtId="0" fontId="14" fillId="0" borderId="88" xfId="20" applyFont="1" applyBorder="1" applyAlignment="1">
      <alignment horizontal="center" vertical="center" wrapText="1"/>
      <protection/>
    </xf>
    <xf numFmtId="0" fontId="14" fillId="0" borderId="44" xfId="20" applyFont="1" applyBorder="1" applyAlignment="1">
      <alignment horizontal="left"/>
      <protection/>
    </xf>
    <xf numFmtId="0" fontId="14" fillId="0" borderId="34" xfId="20" applyFont="1" applyBorder="1" applyAlignment="1">
      <alignment horizontal="left"/>
      <protection/>
    </xf>
    <xf numFmtId="49" fontId="14" fillId="0" borderId="34" xfId="20" applyNumberFormat="1" applyFont="1" applyBorder="1" applyAlignment="1">
      <alignment horizontal="left"/>
      <protection/>
    </xf>
    <xf numFmtId="0" fontId="14" fillId="0" borderId="0" xfId="20" applyFont="1" applyAlignment="1">
      <alignment/>
      <protection/>
    </xf>
    <xf numFmtId="0" fontId="15" fillId="0" borderId="0" xfId="20" applyFont="1" applyBorder="1" applyAlignment="1">
      <alignment horizontal="center"/>
      <protection/>
    </xf>
    <xf numFmtId="0" fontId="40" fillId="0" borderId="0" xfId="20" applyFont="1" applyBorder="1" applyAlignment="1">
      <alignment horizontal="center"/>
      <protection/>
    </xf>
    <xf numFmtId="0" fontId="14" fillId="0" borderId="128" xfId="20" applyFont="1" applyBorder="1" applyAlignment="1">
      <alignment horizontal="center" vertical="center"/>
      <protection/>
    </xf>
    <xf numFmtId="0" fontId="14" fillId="0" borderId="129" xfId="19" applyFont="1" applyBorder="1" applyAlignment="1">
      <alignment horizontal="center" vertical="center"/>
      <protection/>
    </xf>
    <xf numFmtId="0" fontId="14" fillId="0" borderId="129" xfId="20" applyFont="1" applyBorder="1" applyAlignment="1">
      <alignment horizontal="center" vertical="center"/>
      <protection/>
    </xf>
    <xf numFmtId="0" fontId="14" fillId="0" borderId="130" xfId="20" applyFont="1" applyBorder="1" applyAlignment="1">
      <alignment horizontal="center"/>
      <protection/>
    </xf>
    <xf numFmtId="3" fontId="14" fillId="0" borderId="131" xfId="20" applyNumberFormat="1" applyFont="1" applyBorder="1" applyAlignment="1">
      <alignment horizontal="center" vertical="center" wrapText="1"/>
      <protection/>
    </xf>
    <xf numFmtId="0" fontId="14" fillId="0" borderId="88" xfId="20" applyFont="1" applyBorder="1" applyAlignment="1">
      <alignment horizontal="center" vertical="center"/>
      <protection/>
    </xf>
    <xf numFmtId="0" fontId="14" fillId="0" borderId="129" xfId="20" applyFont="1" applyBorder="1" applyAlignment="1">
      <alignment horizontal="center" vertical="center" wrapText="1"/>
      <protection/>
    </xf>
    <xf numFmtId="0" fontId="51" fillId="0" borderId="37" xfId="23" applyFont="1" applyFill="1" applyBorder="1" applyAlignment="1">
      <alignment horizontal="center" vertical="center" wrapText="1"/>
      <protection/>
    </xf>
    <xf numFmtId="0" fontId="51" fillId="0" borderId="11" xfId="23" applyFont="1" applyFill="1" applyBorder="1" applyAlignment="1">
      <alignment horizontal="center" vertical="center" wrapText="1"/>
      <protection/>
    </xf>
    <xf numFmtId="0" fontId="51" fillId="0" borderId="9" xfId="23" applyFont="1" applyFill="1" applyBorder="1" applyAlignment="1">
      <alignment horizontal="center" vertical="center" wrapText="1"/>
      <protection/>
    </xf>
    <xf numFmtId="0" fontId="51" fillId="0" borderId="1" xfId="23" applyFont="1" applyFill="1" applyBorder="1" applyAlignment="1">
      <alignment horizontal="center" vertical="center" wrapText="1"/>
      <protection/>
    </xf>
    <xf numFmtId="0" fontId="50" fillId="0" borderId="0" xfId="23" applyFont="1" applyFill="1" applyBorder="1" applyAlignment="1">
      <alignment horizontal="center" vertical="center"/>
      <protection/>
    </xf>
    <xf numFmtId="0" fontId="51" fillId="0" borderId="9" xfId="23" applyFont="1" applyFill="1" applyBorder="1" applyAlignment="1">
      <alignment horizontal="center" vertical="center"/>
      <protection/>
    </xf>
    <xf numFmtId="0" fontId="51" fillId="0" borderId="37" xfId="23" applyFont="1" applyFill="1" applyBorder="1" applyAlignment="1">
      <alignment horizontal="center" vertical="center"/>
      <protection/>
    </xf>
    <xf numFmtId="0" fontId="51" fillId="0" borderId="29" xfId="23" applyFont="1" applyFill="1" applyBorder="1" applyAlignment="1">
      <alignment horizontal="center" vertical="center" wrapText="1"/>
      <protection/>
    </xf>
    <xf numFmtId="0" fontId="51" fillId="0" borderId="26" xfId="23" applyFont="1" applyFill="1" applyBorder="1" applyAlignment="1">
      <alignment horizontal="center" vertical="center" wrapText="1"/>
      <protection/>
    </xf>
    <xf numFmtId="0" fontId="28" fillId="0" borderId="0" xfId="21" applyFont="1" applyAlignment="1">
      <alignment horizontal="center" vertical="center"/>
      <protection/>
    </xf>
    <xf numFmtId="0" fontId="28" fillId="0" borderId="0" xfId="21" applyFont="1" applyBorder="1" applyAlignment="1">
      <alignment horizontal="center"/>
      <protection/>
    </xf>
    <xf numFmtId="0" fontId="28" fillId="0" borderId="0" xfId="21" applyFont="1" applyAlignment="1">
      <alignment horizontal="center"/>
      <protection/>
    </xf>
    <xf numFmtId="0" fontId="5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5" fillId="0" borderId="0" xfId="21" applyFont="1" applyAlignment="1">
      <alignment horizontal="center" wrapText="1"/>
      <protection/>
    </xf>
    <xf numFmtId="0" fontId="5" fillId="0" borderId="0" xfId="21" applyFont="1" applyBorder="1" applyAlignment="1">
      <alignment horizontal="center" vertical="center"/>
      <protection/>
    </xf>
    <xf numFmtId="0" fontId="48" fillId="0" borderId="0" xfId="21" applyFont="1" applyAlignment="1">
      <alignment/>
      <protection/>
    </xf>
    <xf numFmtId="0" fontId="5" fillId="0" borderId="0" xfId="21" applyFont="1" applyBorder="1" applyAlignment="1">
      <alignment horizontal="center"/>
      <protection/>
    </xf>
    <xf numFmtId="0" fontId="20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24" fillId="0" borderId="0" xfId="0" applyFont="1" applyAlignment="1">
      <alignment/>
    </xf>
    <xf numFmtId="0" fontId="14" fillId="0" borderId="132" xfId="0" applyFont="1" applyBorder="1" applyAlignment="1">
      <alignment horizontal="center" vertical="top" wrapText="1"/>
    </xf>
    <xf numFmtId="0" fontId="14" fillId="0" borderId="12" xfId="0" applyFont="1" applyBorder="1" applyAlignment="1">
      <alignment horizontal="center" vertical="top" wrapText="1"/>
    </xf>
    <xf numFmtId="0" fontId="15" fillId="0" borderId="0" xfId="0" applyFont="1" applyAlignment="1">
      <alignment horizontal="center" wrapText="1"/>
    </xf>
    <xf numFmtId="0" fontId="24" fillId="0" borderId="0" xfId="0" applyFont="1" applyAlignment="1">
      <alignment wrapText="1"/>
    </xf>
    <xf numFmtId="0" fontId="15" fillId="0" borderId="0" xfId="0" applyFont="1" applyAlignment="1">
      <alignment horizontal="center"/>
    </xf>
    <xf numFmtId="0" fontId="27" fillId="0" borderId="133" xfId="0" applyFont="1" applyBorder="1" applyAlignment="1">
      <alignment horizontal="left"/>
    </xf>
    <xf numFmtId="0" fontId="27" fillId="0" borderId="53" xfId="0" applyFont="1" applyBorder="1" applyAlignment="1" quotePrefix="1">
      <alignment horizontal="left"/>
    </xf>
    <xf numFmtId="0" fontId="27" fillId="0" borderId="74" xfId="0" applyFont="1" applyBorder="1" applyAlignment="1">
      <alignment horizontal="left"/>
    </xf>
    <xf numFmtId="0" fontId="27" fillId="0" borderId="134" xfId="0" applyFont="1" applyBorder="1" applyAlignment="1" quotePrefix="1">
      <alignment horizontal="left"/>
    </xf>
    <xf numFmtId="0" fontId="27" fillId="0" borderId="53" xfId="0" applyFont="1" applyBorder="1" applyAlignment="1">
      <alignment horizontal="left"/>
    </xf>
    <xf numFmtId="0" fontId="27" fillId="0" borderId="135" xfId="0" applyFont="1" applyBorder="1" applyAlignment="1">
      <alignment horizontal="left"/>
    </xf>
    <xf numFmtId="0" fontId="27" fillId="0" borderId="54" xfId="0" applyFont="1" applyBorder="1" applyAlignment="1">
      <alignment horizontal="left"/>
    </xf>
    <xf numFmtId="0" fontId="4" fillId="0" borderId="25" xfId="0" applyFont="1" applyBorder="1" applyAlignment="1">
      <alignment horizontal="center" vertical="top" wrapText="1"/>
    </xf>
    <xf numFmtId="0" fontId="0" fillId="0" borderId="136" xfId="0" applyBorder="1" applyAlignment="1">
      <alignment horizontal="center" vertical="top" wrapText="1"/>
    </xf>
    <xf numFmtId="0" fontId="25" fillId="0" borderId="137" xfId="0" applyFont="1" applyBorder="1" applyAlignment="1">
      <alignment horizontal="center" vertical="center" wrapText="1"/>
    </xf>
    <xf numFmtId="0" fontId="39" fillId="0" borderId="69" xfId="0" applyFont="1" applyBorder="1" applyAlignment="1">
      <alignment horizontal="center" vertical="center" wrapText="1"/>
    </xf>
    <xf numFmtId="0" fontId="39" fillId="0" borderId="136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4" fillId="0" borderId="125" xfId="0" applyFont="1" applyBorder="1" applyAlignment="1">
      <alignment horizontal="center" wrapText="1"/>
    </xf>
    <xf numFmtId="0" fontId="0" fillId="0" borderId="82" xfId="0" applyBorder="1" applyAlignment="1">
      <alignment horizontal="center" wrapText="1"/>
    </xf>
    <xf numFmtId="0" fontId="0" fillId="0" borderId="71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38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11" fillId="0" borderId="139" xfId="0" applyFont="1" applyBorder="1" applyAlignment="1">
      <alignment horizontal="center" vertical="top" wrapText="1"/>
    </xf>
    <xf numFmtId="0" fontId="11" fillId="0" borderId="140" xfId="0" applyFont="1" applyBorder="1" applyAlignment="1">
      <alignment horizontal="center" wrapText="1"/>
    </xf>
    <xf numFmtId="0" fontId="16" fillId="0" borderId="141" xfId="0" applyFont="1" applyBorder="1" applyAlignment="1">
      <alignment horizontal="center" vertical="center" wrapText="1"/>
    </xf>
    <xf numFmtId="0" fontId="16" fillId="0" borderId="78" xfId="0" applyFont="1" applyBorder="1" applyAlignment="1">
      <alignment horizontal="center" vertical="center" wrapText="1"/>
    </xf>
    <xf numFmtId="0" fontId="16" fillId="0" borderId="80" xfId="0" applyFont="1" applyBorder="1" applyAlignment="1">
      <alignment horizontal="center" vertical="center" wrapText="1"/>
    </xf>
    <xf numFmtId="0" fontId="36" fillId="0" borderId="137" xfId="0" applyFont="1" applyBorder="1" applyAlignment="1">
      <alignment horizontal="center" vertical="center" wrapText="1"/>
    </xf>
    <xf numFmtId="0" fontId="11" fillId="0" borderId="69" xfId="0" applyFont="1" applyBorder="1" applyAlignment="1">
      <alignment horizontal="center" vertical="center" wrapText="1"/>
    </xf>
    <xf numFmtId="0" fontId="11" fillId="0" borderId="136" xfId="0" applyFont="1" applyBorder="1" applyAlignment="1">
      <alignment horizontal="center" vertical="center" wrapText="1"/>
    </xf>
    <xf numFmtId="0" fontId="11" fillId="0" borderId="140" xfId="0" applyFont="1" applyBorder="1" applyAlignment="1">
      <alignment horizontal="center" wrapText="1"/>
    </xf>
    <xf numFmtId="0" fontId="25" fillId="0" borderId="142" xfId="0" applyFont="1" applyBorder="1" applyAlignment="1">
      <alignment horizontal="center" vertical="top" wrapText="1"/>
    </xf>
    <xf numFmtId="0" fontId="39" fillId="0" borderId="143" xfId="0" applyFont="1" applyBorder="1" applyAlignment="1">
      <alignment horizontal="center" vertical="top" wrapText="1"/>
    </xf>
    <xf numFmtId="0" fontId="39" fillId="0" borderId="4" xfId="0" applyFont="1" applyBorder="1" applyAlignment="1">
      <alignment horizontal="center" vertical="top" wrapText="1"/>
    </xf>
    <xf numFmtId="0" fontId="39" fillId="0" borderId="134" xfId="0" applyFont="1" applyBorder="1" applyAlignment="1">
      <alignment horizontal="center" vertical="top" wrapText="1"/>
    </xf>
    <xf numFmtId="0" fontId="28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5" fillId="2" borderId="36" xfId="0" applyFont="1" applyFill="1" applyBorder="1" applyAlignment="1">
      <alignment horizontal="center" vertical="top"/>
    </xf>
    <xf numFmtId="0" fontId="15" fillId="2" borderId="124" xfId="0" applyFont="1" applyFill="1" applyBorder="1" applyAlignment="1">
      <alignment horizontal="center" vertical="top"/>
    </xf>
    <xf numFmtId="0" fontId="15" fillId="2" borderId="137" xfId="0" applyFont="1" applyFill="1" applyBorder="1" applyAlignment="1">
      <alignment horizontal="center" vertical="top" wrapText="1"/>
    </xf>
    <xf numFmtId="0" fontId="24" fillId="2" borderId="3" xfId="0" applyFont="1" applyFill="1" applyBorder="1" applyAlignment="1">
      <alignment horizontal="center" vertical="top" wrapText="1"/>
    </xf>
    <xf numFmtId="0" fontId="15" fillId="2" borderId="141" xfId="0" applyFont="1" applyFill="1" applyBorder="1" applyAlignment="1">
      <alignment horizontal="center" vertical="top" wrapText="1"/>
    </xf>
    <xf numFmtId="0" fontId="24" fillId="2" borderId="78" xfId="0" applyFont="1" applyFill="1" applyBorder="1" applyAlignment="1">
      <alignment horizontal="center" vertical="top" wrapText="1"/>
    </xf>
    <xf numFmtId="0" fontId="15" fillId="0" borderId="132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2" borderId="137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0" fontId="14" fillId="0" borderId="0" xfId="25" applyFont="1" applyAlignment="1">
      <alignment horizontal="center"/>
      <protection/>
    </xf>
    <xf numFmtId="0" fontId="0" fillId="0" borderId="0" xfId="0" applyAlignment="1">
      <alignment horizontal="center"/>
    </xf>
    <xf numFmtId="0" fontId="8" fillId="0" borderId="36" xfId="0" applyFont="1" applyBorder="1" applyAlignment="1">
      <alignment horizontal="center"/>
    </xf>
    <xf numFmtId="0" fontId="0" fillId="0" borderId="144" xfId="0" applyBorder="1" applyAlignment="1">
      <alignment horizontal="center"/>
    </xf>
    <xf numFmtId="0" fontId="0" fillId="0" borderId="124" xfId="0" applyBorder="1" applyAlignment="1">
      <alignment horizontal="center"/>
    </xf>
    <xf numFmtId="0" fontId="11" fillId="0" borderId="144" xfId="0" applyFont="1" applyBorder="1" applyAlignment="1">
      <alignment horizontal="center"/>
    </xf>
    <xf numFmtId="0" fontId="11" fillId="0" borderId="145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28" fillId="0" borderId="34" xfId="22" applyFont="1" applyBorder="1" applyAlignment="1">
      <alignment horizontal="left"/>
      <protection/>
    </xf>
    <xf numFmtId="0" fontId="28" fillId="0" borderId="87" xfId="22" applyFont="1" applyBorder="1" applyAlignment="1">
      <alignment horizontal="left"/>
      <protection/>
    </xf>
    <xf numFmtId="0" fontId="2" fillId="0" borderId="34" xfId="22" applyFont="1" applyBorder="1" applyAlignment="1">
      <alignment horizontal="left"/>
      <protection/>
    </xf>
    <xf numFmtId="0" fontId="28" fillId="0" borderId="44" xfId="22" applyFont="1" applyBorder="1" applyAlignment="1">
      <alignment horizontal="left"/>
      <protection/>
    </xf>
    <xf numFmtId="0" fontId="28" fillId="0" borderId="88" xfId="22" applyFont="1" applyBorder="1" applyAlignment="1">
      <alignment horizontal="left"/>
      <protection/>
    </xf>
    <xf numFmtId="0" fontId="28" fillId="0" borderId="146" xfId="22" applyFont="1" applyBorder="1" applyAlignment="1">
      <alignment horizontal="center" vertical="center"/>
      <protection/>
    </xf>
    <xf numFmtId="0" fontId="28" fillId="0" borderId="147" xfId="22" applyFont="1" applyBorder="1" applyAlignment="1">
      <alignment horizontal="center" vertical="center"/>
      <protection/>
    </xf>
    <xf numFmtId="0" fontId="2" fillId="0" borderId="148" xfId="22" applyFont="1" applyBorder="1" applyAlignment="1">
      <alignment horizontal="left"/>
      <protection/>
    </xf>
    <xf numFmtId="0" fontId="0" fillId="0" borderId="149" xfId="0" applyBorder="1" applyAlignment="1">
      <alignment horizontal="left"/>
    </xf>
    <xf numFmtId="0" fontId="0" fillId="0" borderId="150" xfId="0" applyBorder="1" applyAlignment="1">
      <alignment horizontal="left"/>
    </xf>
    <xf numFmtId="0" fontId="28" fillId="0" borderId="0" xfId="22" applyFont="1" applyBorder="1" applyAlignment="1">
      <alignment horizontal="center"/>
      <protection/>
    </xf>
    <xf numFmtId="0" fontId="2" fillId="0" borderId="85" xfId="22" applyFont="1" applyBorder="1" applyAlignment="1">
      <alignment horizontal="left"/>
      <protection/>
    </xf>
    <xf numFmtId="0" fontId="2" fillId="0" borderId="86" xfId="22" applyFont="1" applyBorder="1" applyAlignment="1">
      <alignment horizontal="left"/>
      <protection/>
    </xf>
    <xf numFmtId="0" fontId="15" fillId="0" borderId="0" xfId="21" applyFont="1">
      <alignment/>
      <protection/>
    </xf>
    <xf numFmtId="0" fontId="24" fillId="0" borderId="0" xfId="21" applyFont="1">
      <alignment/>
      <protection/>
    </xf>
    <xf numFmtId="0" fontId="56" fillId="0" borderId="0" xfId="21" applyFont="1">
      <alignment/>
      <protection/>
    </xf>
  </cellXfs>
  <cellStyles count="15">
    <cellStyle name="Normal" xfId="0"/>
    <cellStyle name="Comma" xfId="15"/>
    <cellStyle name="Comma [0]" xfId="16"/>
    <cellStyle name="Hyperlink" xfId="17"/>
    <cellStyle name="Followed Hyperlink" xfId="18"/>
    <cellStyle name="Normál_2011 ktv. táblák" xfId="19"/>
    <cellStyle name="Normál_9702KV1_2011 ktv. táblák" xfId="20"/>
    <cellStyle name="Normál_Beruh.felú-átadott-átvett" xfId="21"/>
    <cellStyle name="Normál_Brigitől kisebbségek" xfId="22"/>
    <cellStyle name="Normál_Intézményi előirányzat tábla" xfId="23"/>
    <cellStyle name="Normál_KTGVET98" xfId="24"/>
    <cellStyle name="Normál_Munka1" xfId="25"/>
    <cellStyle name="Currency" xfId="26"/>
    <cellStyle name="Currency [0]" xfId="27"/>
    <cellStyle name="Percent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externalLink" Target="externalLinks/externalLink1.xml" /><Relationship Id="rId2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ZSOMBO~1\LOCALS~1\Temp\Int&#233;zm&#233;nyi%20el&#337;ir&#225;nyzat%20t&#225;bl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redeti EFt"/>
      <sheetName val="Eredeti EzerFt"/>
      <sheetName val="Eredeti Ft"/>
    </sheetNames>
    <sheetDataSet>
      <sheetData sheetId="2">
        <row r="4">
          <cell r="A4" t="str">
            <v>Fürdő utcai Óvoda</v>
          </cell>
          <cell r="B4" t="str">
            <v>Eredeti</v>
          </cell>
          <cell r="C4">
            <v>6203182.3</v>
          </cell>
          <cell r="D4">
            <v>4470400</v>
          </cell>
          <cell r="E4">
            <v>1550795.575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O4">
            <v>37168720.825</v>
          </cell>
          <cell r="P4">
            <v>9865566.807750002</v>
          </cell>
          <cell r="Q4">
            <v>12932760.5</v>
          </cell>
          <cell r="R4">
            <v>5630577.5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</row>
        <row r="5">
          <cell r="A5" t="str">
            <v>Kálvária utcai Óvoda</v>
          </cell>
          <cell r="B5" t="str">
            <v>Eredeti</v>
          </cell>
          <cell r="C5">
            <v>3058100</v>
          </cell>
          <cell r="D5">
            <v>2486900</v>
          </cell>
          <cell r="E5">
            <v>764525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O5">
            <v>25374969.643</v>
          </cell>
          <cell r="P5">
            <v>6780781.518750001</v>
          </cell>
          <cell r="Q5">
            <v>9555722.5625</v>
          </cell>
          <cell r="R5">
            <v>4647871.25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</row>
        <row r="6">
          <cell r="A6" t="str">
            <v>Szivárvány Óvoda</v>
          </cell>
          <cell r="B6" t="str">
            <v>Eredeti</v>
          </cell>
          <cell r="C6">
            <v>2207800</v>
          </cell>
          <cell r="D6">
            <v>1922200</v>
          </cell>
          <cell r="E6">
            <v>551950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O6">
            <v>13269495.1</v>
          </cell>
          <cell r="P6">
            <v>3506993.685</v>
          </cell>
          <cell r="Q6">
            <v>6532738.9375</v>
          </cell>
          <cell r="R6">
            <v>2716225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</row>
        <row r="7">
          <cell r="A7" t="str">
            <v>Kuckó Óvoda</v>
          </cell>
          <cell r="B7" t="str">
            <v>Eredeti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</row>
        <row r="8">
          <cell r="A8" t="str">
            <v>Geszti Óvoda</v>
          </cell>
          <cell r="B8" t="str">
            <v>Eredeti</v>
          </cell>
          <cell r="C8">
            <v>4599400</v>
          </cell>
          <cell r="D8">
            <v>3905800</v>
          </cell>
          <cell r="E8">
            <v>1149850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O8">
            <v>29349126.125</v>
          </cell>
          <cell r="P8">
            <v>7800466.488749999</v>
          </cell>
          <cell r="Q8">
            <v>10285446.375</v>
          </cell>
          <cell r="R8">
            <v>4576740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</row>
        <row r="9">
          <cell r="A9" t="str">
            <v>Bartók B. utcai Óvoda</v>
          </cell>
          <cell r="B9" t="str">
            <v>Eredeti</v>
          </cell>
          <cell r="C9">
            <v>5005029.25</v>
          </cell>
          <cell r="D9">
            <v>4027600</v>
          </cell>
          <cell r="E9">
            <v>1251257.3125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O9">
            <v>38893309.275</v>
          </cell>
          <cell r="P9">
            <v>10316260.703250002</v>
          </cell>
          <cell r="Q9">
            <v>16785352.3125</v>
          </cell>
          <cell r="R9">
            <v>5976402.5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</row>
        <row r="10">
          <cell r="A10" t="str">
            <v>Kertvárosi Óvoda</v>
          </cell>
          <cell r="B10" t="str">
            <v>Eredeti</v>
          </cell>
          <cell r="C10">
            <v>5648988.4</v>
          </cell>
          <cell r="D10">
            <v>2487100</v>
          </cell>
          <cell r="E10">
            <v>1412247.1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O10">
            <v>25873587.625</v>
          </cell>
          <cell r="P10">
            <v>6894780.108750001</v>
          </cell>
          <cell r="Q10">
            <v>10835131</v>
          </cell>
          <cell r="R10">
            <v>3102847.5</v>
          </cell>
          <cell r="S10">
            <v>0</v>
          </cell>
          <cell r="T10">
            <v>0</v>
          </cell>
          <cell r="U10">
            <v>0</v>
          </cell>
          <cell r="V10">
            <v>4500000</v>
          </cell>
        </row>
        <row r="11">
          <cell r="A11" t="str">
            <v>Kincseskert Óvoda</v>
          </cell>
          <cell r="B11" t="str">
            <v>Eredeti</v>
          </cell>
          <cell r="C11">
            <v>4186500</v>
          </cell>
          <cell r="D11">
            <v>3615300</v>
          </cell>
          <cell r="E11">
            <v>1046625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O11">
            <v>27157294.45</v>
          </cell>
          <cell r="P11">
            <v>7242018.705</v>
          </cell>
          <cell r="Q11">
            <v>10585796.175999999</v>
          </cell>
          <cell r="R11">
            <v>4724602.5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</row>
        <row r="12">
          <cell r="A12" t="str">
            <v>Bergengócia Óvoda</v>
          </cell>
          <cell r="B12" t="str">
            <v>Eredeti</v>
          </cell>
          <cell r="C12">
            <v>1002500</v>
          </cell>
          <cell r="D12">
            <v>839300</v>
          </cell>
          <cell r="E12">
            <v>250625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O12">
            <v>7192910.5</v>
          </cell>
          <cell r="P12">
            <v>1936415.8350000002</v>
          </cell>
          <cell r="Q12">
            <v>2956720.5</v>
          </cell>
          <cell r="R12">
            <v>1040071.25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</row>
        <row r="13">
          <cell r="A13" t="str">
            <v>Bölcsöde</v>
          </cell>
          <cell r="B13" t="str">
            <v>Eredeti</v>
          </cell>
          <cell r="C13">
            <v>4676780.05625</v>
          </cell>
          <cell r="D13">
            <v>3295100</v>
          </cell>
          <cell r="E13">
            <v>1169195.0140625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O13">
            <v>37986587.94</v>
          </cell>
          <cell r="P13">
            <v>10028459.3238</v>
          </cell>
          <cell r="Q13">
            <v>19990482.936699998</v>
          </cell>
          <cell r="R13">
            <v>3917115.9999999995</v>
          </cell>
          <cell r="S13">
            <v>0</v>
          </cell>
          <cell r="T13">
            <v>0</v>
          </cell>
          <cell r="U13">
            <v>0</v>
          </cell>
          <cell r="V13">
            <v>5000000</v>
          </cell>
        </row>
        <row r="14">
          <cell r="A14" t="str">
            <v>Vaszary J. Általános Iskola</v>
          </cell>
          <cell r="B14" t="str">
            <v>Eredeti</v>
          </cell>
          <cell r="C14">
            <v>15919009.708737865</v>
          </cell>
          <cell r="D14">
            <v>12826009.708737865</v>
          </cell>
          <cell r="E14">
            <v>3354002.4271844663</v>
          </cell>
          <cell r="F14">
            <v>4200000</v>
          </cell>
          <cell r="G14">
            <v>1500000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O14">
            <v>159000003.89499998</v>
          </cell>
          <cell r="P14">
            <v>42523867.262250006</v>
          </cell>
          <cell r="Q14">
            <v>68585290.01551999</v>
          </cell>
          <cell r="R14">
            <v>31892675.728</v>
          </cell>
          <cell r="S14">
            <v>4200000</v>
          </cell>
          <cell r="T14">
            <v>4200000</v>
          </cell>
          <cell r="U14">
            <v>0</v>
          </cell>
          <cell r="V14">
            <v>2300000</v>
          </cell>
        </row>
        <row r="15">
          <cell r="A15" t="str">
            <v>Vaszary - Logopédiai Intézet</v>
          </cell>
          <cell r="B15" t="str">
            <v>Eredeti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5494000</v>
          </cell>
          <cell r="J15">
            <v>0</v>
          </cell>
          <cell r="K15">
            <v>0</v>
          </cell>
          <cell r="O15">
            <v>21809535.400000002</v>
          </cell>
          <cell r="P15">
            <v>5773895.4059999995</v>
          </cell>
          <cell r="Q15">
            <v>2535746.38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</row>
        <row r="16">
          <cell r="A16" t="str">
            <v>Vaszary-Jázmin Tagint.</v>
          </cell>
          <cell r="B16" t="str">
            <v>Eredeti</v>
          </cell>
          <cell r="C16">
            <v>8552408.737864077</v>
          </cell>
          <cell r="D16">
            <v>7802408.737864077</v>
          </cell>
          <cell r="E16">
            <v>2090602.1844660193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O16">
            <v>43110489.5</v>
          </cell>
          <cell r="P16">
            <v>11589442.065000001</v>
          </cell>
          <cell r="Q16">
            <v>27695622.98</v>
          </cell>
          <cell r="R16">
            <v>17839731.584</v>
          </cell>
          <cell r="S16">
            <v>1020000</v>
          </cell>
          <cell r="T16">
            <v>0</v>
          </cell>
          <cell r="U16">
            <v>0</v>
          </cell>
          <cell r="V16">
            <v>0</v>
          </cell>
        </row>
        <row r="17">
          <cell r="A17" t="str">
            <v>Vaszary - Tardosi Tagint.</v>
          </cell>
          <cell r="B17" t="str">
            <v>Eredeti</v>
          </cell>
          <cell r="C17">
            <v>2009968</v>
          </cell>
          <cell r="D17">
            <v>1312000</v>
          </cell>
          <cell r="E17">
            <v>502492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O17">
            <v>34649771.95</v>
          </cell>
          <cell r="P17">
            <v>9162228.3165</v>
          </cell>
          <cell r="Q17">
            <v>12402383.5</v>
          </cell>
          <cell r="R17">
            <v>4511800</v>
          </cell>
          <cell r="S17">
            <v>660000</v>
          </cell>
          <cell r="T17">
            <v>0</v>
          </cell>
          <cell r="U17">
            <v>0</v>
          </cell>
          <cell r="V17">
            <v>0</v>
          </cell>
        </row>
        <row r="18">
          <cell r="A18" t="str">
            <v>Vaszary összesen</v>
          </cell>
          <cell r="B18" t="str">
            <v>Eredeti</v>
          </cell>
        </row>
        <row r="19">
          <cell r="A19" t="str">
            <v>Kőkúti Általános Iskola</v>
          </cell>
          <cell r="B19" t="str">
            <v>Eredeti</v>
          </cell>
          <cell r="C19">
            <v>24703922.330097087</v>
          </cell>
          <cell r="D19">
            <v>17633922.330097087</v>
          </cell>
          <cell r="E19">
            <v>6008480.582524272</v>
          </cell>
          <cell r="F19">
            <v>7900000</v>
          </cell>
          <cell r="G19">
            <v>1679000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O19">
            <v>147553152.60000002</v>
          </cell>
          <cell r="P19">
            <v>39584423.95200001</v>
          </cell>
          <cell r="Q19">
            <v>115245604.61216</v>
          </cell>
          <cell r="R19">
            <v>39023581.49599999</v>
          </cell>
          <cell r="S19">
            <v>3000000</v>
          </cell>
          <cell r="T19">
            <v>7920000</v>
          </cell>
          <cell r="U19">
            <v>0</v>
          </cell>
          <cell r="V19">
            <v>4000000</v>
          </cell>
        </row>
        <row r="20">
          <cell r="A20" t="str">
            <v>Kőkúti Általános Iskola - Fazekas U. Tagintézmény</v>
          </cell>
          <cell r="B20" t="str">
            <v>Eredeti</v>
          </cell>
          <cell r="C20">
            <v>4941916.019417476</v>
          </cell>
          <cell r="D20">
            <v>4211916.019417476</v>
          </cell>
          <cell r="E20">
            <v>1172979.004854369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O20">
            <v>50863195.765</v>
          </cell>
          <cell r="P20">
            <v>13605395.37075</v>
          </cell>
          <cell r="Q20">
            <v>27721583.6825</v>
          </cell>
          <cell r="R20">
            <v>13925136.095999999</v>
          </cell>
          <cell r="S20">
            <v>1320000</v>
          </cell>
          <cell r="T20">
            <v>0</v>
          </cell>
          <cell r="U20">
            <v>0</v>
          </cell>
          <cell r="V20">
            <v>0</v>
          </cell>
        </row>
        <row r="21">
          <cell r="A21" t="str">
            <v>Kőkúti összesen</v>
          </cell>
          <cell r="B21" t="str">
            <v>Eredeti</v>
          </cell>
        </row>
        <row r="22">
          <cell r="A22" t="str">
            <v>Zeneiskola</v>
          </cell>
          <cell r="B22" t="str">
            <v>Eredeti</v>
          </cell>
          <cell r="C22">
            <v>4740000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O22">
            <v>52174224.41500001</v>
          </cell>
          <cell r="P22">
            <v>13797734.75505</v>
          </cell>
          <cell r="Q22">
            <v>6750817.5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</row>
        <row r="23">
          <cell r="A23" t="str">
            <v>Könyvtár</v>
          </cell>
          <cell r="B23" t="str">
            <v>Eredeti</v>
          </cell>
          <cell r="C23">
            <v>1230000</v>
          </cell>
          <cell r="E23">
            <v>307500</v>
          </cell>
          <cell r="F23">
            <v>22000000</v>
          </cell>
          <cell r="G23">
            <v>5876000</v>
          </cell>
          <cell r="H23">
            <v>0</v>
          </cell>
          <cell r="I23">
            <v>9000000</v>
          </cell>
          <cell r="J23">
            <v>0</v>
          </cell>
          <cell r="K23">
            <v>0</v>
          </cell>
          <cell r="O23">
            <v>24661186.88875</v>
          </cell>
          <cell r="P23">
            <v>6580632.155962502</v>
          </cell>
          <cell r="Q23">
            <v>45046153.90488</v>
          </cell>
          <cell r="S23">
            <v>0</v>
          </cell>
          <cell r="T23">
            <v>2313000</v>
          </cell>
          <cell r="U23">
            <v>0</v>
          </cell>
          <cell r="V23">
            <v>0</v>
          </cell>
        </row>
        <row r="24">
          <cell r="A24" t="str">
            <v>SZAI Jelzőrendszeres házi segítségnyújtás</v>
          </cell>
          <cell r="B24" t="str">
            <v>Eredeti</v>
          </cell>
          <cell r="C24">
            <v>480000</v>
          </cell>
          <cell r="E24">
            <v>120000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O24">
            <v>2110000</v>
          </cell>
          <cell r="P24">
            <v>569700</v>
          </cell>
          <cell r="Q24">
            <v>462171.25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</row>
        <row r="25">
          <cell r="A25" t="str">
            <v>SZAI Támogató szolgálat</v>
          </cell>
          <cell r="B25" t="str">
            <v>Eredeti</v>
          </cell>
          <cell r="C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O25">
            <v>9807147.1</v>
          </cell>
          <cell r="P25">
            <v>2561881.473</v>
          </cell>
          <cell r="Q25">
            <v>4514358.75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</row>
        <row r="26">
          <cell r="A26" t="str">
            <v>SZAI Közösségi</v>
          </cell>
          <cell r="B26" t="str">
            <v>Eredeti</v>
          </cell>
          <cell r="C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O26">
            <v>4956606.5</v>
          </cell>
          <cell r="P26">
            <v>1310668.506</v>
          </cell>
          <cell r="Q26">
            <v>1947202.5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</row>
        <row r="27">
          <cell r="A27" t="str">
            <v>SZAI nappali, családsegítő és gyermekjóléti, szociális étkezés, éjjeli menedékhely, házigondozás</v>
          </cell>
          <cell r="B27" t="str">
            <v>Eredeti</v>
          </cell>
          <cell r="C27">
            <v>11471650</v>
          </cell>
          <cell r="E27">
            <v>81600</v>
          </cell>
          <cell r="F27">
            <v>0</v>
          </cell>
          <cell r="G27">
            <v>0</v>
          </cell>
          <cell r="H27">
            <v>0</v>
          </cell>
          <cell r="I27">
            <v>21996000</v>
          </cell>
          <cell r="J27">
            <v>0</v>
          </cell>
          <cell r="K27">
            <v>0</v>
          </cell>
          <cell r="O27">
            <v>80758253.13000001</v>
          </cell>
          <cell r="P27">
            <v>20852150.2821</v>
          </cell>
          <cell r="Q27">
            <v>26123706.5625</v>
          </cell>
          <cell r="R27">
            <v>9895950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</row>
        <row r="28">
          <cell r="A28" t="str">
            <v>Szociális Alapellátó Intézmény</v>
          </cell>
          <cell r="B28" t="str">
            <v>Eredeti</v>
          </cell>
        </row>
        <row r="29">
          <cell r="A29" t="str">
            <v>Intézmények Gazdasági Hivatala</v>
          </cell>
          <cell r="B29" t="str">
            <v>Eredeti</v>
          </cell>
          <cell r="C29">
            <v>666468</v>
          </cell>
          <cell r="E29">
            <v>5730617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O29">
            <v>17856719.42</v>
          </cell>
          <cell r="P29">
            <v>4759640.0658</v>
          </cell>
          <cell r="Q29">
            <v>7863040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</row>
        <row r="30">
          <cell r="A30" t="str">
            <v>Kvi. alcímek és szakf. Összesen:</v>
          </cell>
          <cell r="B30" t="str">
            <v>Eredeti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0"/>
  <sheetViews>
    <sheetView zoomScaleSheetLayoutView="100" workbookViewId="0" topLeftCell="A1">
      <selection activeCell="B8" sqref="B8"/>
    </sheetView>
  </sheetViews>
  <sheetFormatPr defaultColWidth="9.00390625" defaultRowHeight="12.75"/>
  <cols>
    <col min="1" max="1" width="6.125" style="4" customWidth="1"/>
    <col min="2" max="2" width="57.625" style="4" customWidth="1"/>
    <col min="3" max="3" width="0.6171875" style="4" hidden="1" customWidth="1"/>
    <col min="4" max="4" width="12.875" style="4" customWidth="1"/>
    <col min="5" max="5" width="6.125" style="4" customWidth="1"/>
    <col min="6" max="6" width="57.625" style="4" customWidth="1"/>
    <col min="7" max="7" width="12.875" style="4" customWidth="1"/>
    <col min="8" max="8" width="13.75390625" style="4" customWidth="1"/>
    <col min="9" max="16384" width="9.125" style="4" customWidth="1"/>
  </cols>
  <sheetData>
    <row r="1" ht="12.75">
      <c r="A1" s="167"/>
    </row>
    <row r="2" spans="1:8" ht="12.75">
      <c r="A2" s="850" t="s">
        <v>366</v>
      </c>
      <c r="B2" s="850"/>
      <c r="C2" s="850"/>
      <c r="D2" s="850"/>
      <c r="E2" s="850"/>
      <c r="F2" s="850"/>
      <c r="G2" s="851"/>
      <c r="H2" s="86"/>
    </row>
    <row r="3" spans="3:6" ht="13.5" thickBot="1">
      <c r="C3" s="9"/>
      <c r="D3" s="9"/>
      <c r="E3" s="9"/>
      <c r="F3" s="9"/>
    </row>
    <row r="4" spans="1:8" ht="13.5" customHeight="1" thickTop="1">
      <c r="A4" s="852" t="s">
        <v>539</v>
      </c>
      <c r="B4" s="853"/>
      <c r="C4" s="853"/>
      <c r="D4" s="854"/>
      <c r="E4" s="845" t="s">
        <v>540</v>
      </c>
      <c r="F4" s="846"/>
      <c r="G4" s="847"/>
      <c r="H4" s="117"/>
    </row>
    <row r="5" spans="1:8" ht="14.25" customHeight="1" thickBot="1">
      <c r="A5" s="121"/>
      <c r="B5" s="122"/>
      <c r="C5" s="123"/>
      <c r="D5" s="623" t="s">
        <v>521</v>
      </c>
      <c r="E5" s="625"/>
      <c r="F5" s="624"/>
      <c r="G5" s="484" t="s">
        <v>522</v>
      </c>
      <c r="H5" s="64"/>
    </row>
    <row r="6" spans="1:8" ht="13.5" customHeight="1" thickTop="1">
      <c r="A6" s="640" t="s">
        <v>27</v>
      </c>
      <c r="B6" s="641"/>
      <c r="C6" s="641"/>
      <c r="D6" s="642">
        <f>SUM(D7:D10)</f>
        <v>228452</v>
      </c>
      <c r="E6" s="664" t="s">
        <v>531</v>
      </c>
      <c r="F6" s="665"/>
      <c r="G6" s="666">
        <v>1757298</v>
      </c>
      <c r="H6" s="65"/>
    </row>
    <row r="7" spans="1:8" ht="12.75" customHeight="1">
      <c r="A7" s="10"/>
      <c r="B7" s="131" t="s">
        <v>606</v>
      </c>
      <c r="C7" s="131"/>
      <c r="D7" s="611">
        <f>81733</f>
        <v>81733</v>
      </c>
      <c r="E7" s="626"/>
      <c r="F7" s="141"/>
      <c r="G7" s="142"/>
      <c r="H7" s="66"/>
    </row>
    <row r="8" spans="1:8" ht="14.25">
      <c r="A8" s="10"/>
      <c r="B8" s="613" t="s">
        <v>527</v>
      </c>
      <c r="C8" s="131"/>
      <c r="D8" s="611">
        <v>139819</v>
      </c>
      <c r="E8" s="626" t="s">
        <v>604</v>
      </c>
      <c r="F8" s="131"/>
      <c r="G8" s="136">
        <v>485937</v>
      </c>
      <c r="H8" s="65"/>
    </row>
    <row r="9" spans="1:8" ht="15">
      <c r="A9" s="10"/>
      <c r="B9" s="131" t="s">
        <v>520</v>
      </c>
      <c r="C9" s="131"/>
      <c r="D9" s="611">
        <v>6900</v>
      </c>
      <c r="E9" s="626"/>
      <c r="F9" s="141"/>
      <c r="G9" s="142"/>
      <c r="H9" s="66"/>
    </row>
    <row r="10" spans="1:8" ht="14.25">
      <c r="A10" s="10"/>
      <c r="B10" s="131"/>
      <c r="C10" s="131"/>
      <c r="D10" s="611"/>
      <c r="E10" s="626" t="s">
        <v>78</v>
      </c>
      <c r="F10" s="131"/>
      <c r="G10" s="136">
        <f>SUM(G11:G12)</f>
        <v>1337064</v>
      </c>
      <c r="H10" s="65"/>
    </row>
    <row r="11" spans="1:8" ht="15">
      <c r="A11" s="10"/>
      <c r="B11" s="131"/>
      <c r="C11" s="131"/>
      <c r="D11" s="611"/>
      <c r="E11" s="627"/>
      <c r="F11" s="131" t="s">
        <v>533</v>
      </c>
      <c r="G11" s="142">
        <v>1272890</v>
      </c>
      <c r="H11" s="66"/>
    </row>
    <row r="12" spans="1:8" ht="14.25">
      <c r="A12" s="479" t="s">
        <v>43</v>
      </c>
      <c r="B12" s="480"/>
      <c r="C12" s="437" t="s">
        <v>601</v>
      </c>
      <c r="D12" s="612">
        <f>SUM(D13:D18)</f>
        <v>1949303</v>
      </c>
      <c r="E12" s="627"/>
      <c r="F12" s="131" t="s">
        <v>83</v>
      </c>
      <c r="G12" s="115">
        <v>64174</v>
      </c>
      <c r="H12" s="65"/>
    </row>
    <row r="13" spans="1:8" ht="15">
      <c r="A13" s="614"/>
      <c r="B13" s="615" t="s">
        <v>28</v>
      </c>
      <c r="C13" s="93" t="s">
        <v>602</v>
      </c>
      <c r="D13" s="611">
        <f>195000+70000+16000+890000+12000+3500</f>
        <v>1186500</v>
      </c>
      <c r="E13" s="627"/>
      <c r="F13" s="131"/>
      <c r="G13" s="115"/>
      <c r="H13" s="66"/>
    </row>
    <row r="14" spans="1:8" ht="27.75" customHeight="1">
      <c r="A14" s="94"/>
      <c r="B14" s="613" t="s">
        <v>77</v>
      </c>
      <c r="C14" s="131"/>
      <c r="D14" s="616">
        <f>404939+260000+300</f>
        <v>665239</v>
      </c>
      <c r="E14" s="628" t="s">
        <v>79</v>
      </c>
      <c r="F14" s="480"/>
      <c r="G14" s="192">
        <f>SUM(G15:G18)</f>
        <v>490171</v>
      </c>
      <c r="H14" s="66"/>
    </row>
    <row r="15" spans="1:8" ht="15">
      <c r="A15" s="94"/>
      <c r="B15" s="602" t="s">
        <v>76</v>
      </c>
      <c r="C15" s="131"/>
      <c r="D15" s="616">
        <f>3400</f>
        <v>3400</v>
      </c>
      <c r="E15" s="627"/>
      <c r="F15" s="131" t="s">
        <v>837</v>
      </c>
      <c r="G15" s="142">
        <v>326856</v>
      </c>
      <c r="H15" s="66"/>
    </row>
    <row r="16" spans="1:8" ht="14.25">
      <c r="A16" s="92"/>
      <c r="B16" s="602" t="s">
        <v>70</v>
      </c>
      <c r="C16" s="131"/>
      <c r="D16" s="616">
        <v>3500</v>
      </c>
      <c r="E16" s="626"/>
      <c r="F16" s="606" t="s">
        <v>80</v>
      </c>
      <c r="G16" s="609">
        <v>153115</v>
      </c>
      <c r="H16" s="65"/>
    </row>
    <row r="17" spans="1:8" ht="15">
      <c r="A17" s="10"/>
      <c r="B17" s="131" t="s">
        <v>71</v>
      </c>
      <c r="C17" s="131"/>
      <c r="D17" s="611">
        <v>34124</v>
      </c>
      <c r="E17" s="626"/>
      <c r="F17" s="606" t="s">
        <v>548</v>
      </c>
      <c r="G17" s="609">
        <v>10200</v>
      </c>
      <c r="H17" s="66"/>
    </row>
    <row r="18" spans="1:8" ht="14.25">
      <c r="A18" s="10"/>
      <c r="B18" s="131" t="s">
        <v>72</v>
      </c>
      <c r="C18" s="131"/>
      <c r="D18" s="611">
        <v>56540</v>
      </c>
      <c r="E18" s="626"/>
      <c r="F18" s="606"/>
      <c r="G18" s="142"/>
      <c r="H18" s="65"/>
    </row>
    <row r="19" spans="1:8" ht="15">
      <c r="A19" s="10"/>
      <c r="B19" s="131"/>
      <c r="C19" s="131"/>
      <c r="D19" s="611"/>
      <c r="E19" s="626"/>
      <c r="F19" s="141"/>
      <c r="G19" s="136"/>
      <c r="H19" s="66"/>
    </row>
    <row r="20" spans="1:8" ht="15">
      <c r="A20" s="588" t="s">
        <v>29</v>
      </c>
      <c r="B20" s="607"/>
      <c r="C20" s="437"/>
      <c r="D20" s="612">
        <f>SUM(D21,D22,D23,D24)</f>
        <v>982909</v>
      </c>
      <c r="E20" s="626" t="s">
        <v>81</v>
      </c>
      <c r="F20" s="141"/>
      <c r="G20" s="192">
        <v>2518644</v>
      </c>
      <c r="H20" s="66"/>
    </row>
    <row r="21" spans="1:8" ht="14.25">
      <c r="A21" s="438"/>
      <c r="B21" s="439" t="s">
        <v>68</v>
      </c>
      <c r="C21" s="95"/>
      <c r="D21" s="611">
        <v>867102</v>
      </c>
      <c r="E21" s="626"/>
      <c r="F21" s="141"/>
      <c r="G21" s="136"/>
      <c r="H21" s="65"/>
    </row>
    <row r="22" spans="1:8" ht="15">
      <c r="A22" s="10"/>
      <c r="B22" s="93" t="s">
        <v>69</v>
      </c>
      <c r="C22" s="93"/>
      <c r="D22" s="611">
        <v>115807</v>
      </c>
      <c r="E22" s="626" t="s">
        <v>82</v>
      </c>
      <c r="F22" s="141"/>
      <c r="G22" s="136">
        <v>117796</v>
      </c>
      <c r="H22" s="66"/>
    </row>
    <row r="23" spans="1:8" ht="14.25">
      <c r="A23" s="438"/>
      <c r="B23" s="439" t="s">
        <v>30</v>
      </c>
      <c r="C23" s="95"/>
      <c r="D23" s="611"/>
      <c r="E23" s="626"/>
      <c r="F23" s="141"/>
      <c r="G23" s="136"/>
      <c r="H23" s="65"/>
    </row>
    <row r="24" spans="1:8" ht="27" customHeight="1">
      <c r="A24" s="10"/>
      <c r="B24" s="131" t="s">
        <v>31</v>
      </c>
      <c r="C24" s="141"/>
      <c r="D24" s="611"/>
      <c r="E24" s="848" t="s">
        <v>86</v>
      </c>
      <c r="F24" s="849"/>
      <c r="G24" s="192">
        <v>303871</v>
      </c>
      <c r="H24" s="66"/>
    </row>
    <row r="25" spans="1:8" ht="17.25" customHeight="1">
      <c r="A25" s="433"/>
      <c r="B25" s="434"/>
      <c r="C25" s="141"/>
      <c r="D25" s="611"/>
      <c r="E25" s="627"/>
      <c r="F25" s="131"/>
      <c r="G25" s="667"/>
      <c r="H25" s="65"/>
    </row>
    <row r="26" spans="1:8" ht="15">
      <c r="A26" s="604" t="s">
        <v>32</v>
      </c>
      <c r="B26" s="605"/>
      <c r="C26" s="480"/>
      <c r="D26" s="612">
        <f>SUM(D27:D29)</f>
        <v>941908</v>
      </c>
      <c r="E26" s="628" t="s">
        <v>89</v>
      </c>
      <c r="F26" s="131"/>
      <c r="G26" s="500">
        <f>SUM(G27,G28)</f>
        <v>150986</v>
      </c>
      <c r="H26" s="66"/>
    </row>
    <row r="27" spans="1:8" ht="15.75" customHeight="1">
      <c r="A27" s="478"/>
      <c r="B27" s="603" t="s">
        <v>632</v>
      </c>
      <c r="C27" s="141"/>
      <c r="D27" s="616">
        <v>184393</v>
      </c>
      <c r="E27" s="627"/>
      <c r="F27" s="131" t="s">
        <v>600</v>
      </c>
      <c r="G27" s="115">
        <v>11000</v>
      </c>
      <c r="H27" s="118"/>
    </row>
    <row r="28" spans="1:8" ht="14.25" customHeight="1">
      <c r="A28" s="10"/>
      <c r="B28" s="131" t="s">
        <v>880</v>
      </c>
      <c r="C28" s="131"/>
      <c r="D28" s="611">
        <v>727613</v>
      </c>
      <c r="E28" s="627"/>
      <c r="F28" s="131" t="s">
        <v>90</v>
      </c>
      <c r="G28" s="115">
        <f>SUM(G29:G33)</f>
        <v>139986</v>
      </c>
      <c r="H28" s="66"/>
    </row>
    <row r="29" spans="1:8" ht="15">
      <c r="A29" s="94"/>
      <c r="B29" s="602" t="s">
        <v>33</v>
      </c>
      <c r="C29" s="141"/>
      <c r="D29" s="616">
        <v>29902</v>
      </c>
      <c r="E29" s="627"/>
      <c r="F29" s="608" t="s">
        <v>9</v>
      </c>
      <c r="G29" s="610">
        <v>4800</v>
      </c>
      <c r="H29" s="66"/>
    </row>
    <row r="30" spans="1:8" ht="12.75" customHeight="1">
      <c r="A30" s="10"/>
      <c r="B30" s="131"/>
      <c r="C30" s="131"/>
      <c r="D30" s="643"/>
      <c r="E30" s="627"/>
      <c r="F30" s="608" t="s">
        <v>10</v>
      </c>
      <c r="G30" s="610">
        <v>8000</v>
      </c>
      <c r="H30" s="119"/>
    </row>
    <row r="31" spans="1:8" ht="12.75" customHeight="1">
      <c r="A31" s="10"/>
      <c r="B31" s="131"/>
      <c r="C31" s="131"/>
      <c r="D31" s="643"/>
      <c r="E31" s="627"/>
      <c r="F31" s="608" t="s">
        <v>11</v>
      </c>
      <c r="G31" s="610">
        <v>600</v>
      </c>
      <c r="H31" s="118"/>
    </row>
    <row r="32" spans="1:8" ht="12.75" customHeight="1">
      <c r="A32" s="588" t="s">
        <v>34</v>
      </c>
      <c r="B32" s="480"/>
      <c r="C32" s="437"/>
      <c r="D32" s="612">
        <f>SUM(D33:D39)</f>
        <v>503910</v>
      </c>
      <c r="E32" s="627"/>
      <c r="F32" s="608" t="s">
        <v>12</v>
      </c>
      <c r="G32" s="610">
        <v>1200</v>
      </c>
      <c r="H32" s="66"/>
    </row>
    <row r="33" spans="1:8" ht="12.75" customHeight="1">
      <c r="A33" s="10"/>
      <c r="B33" s="131" t="s">
        <v>620</v>
      </c>
      <c r="C33" s="93"/>
      <c r="D33" s="611">
        <v>0</v>
      </c>
      <c r="E33" s="627"/>
      <c r="F33" s="608" t="s">
        <v>13</v>
      </c>
      <c r="G33" s="610">
        <f>150940-15867-21693-9231+18093+6192-8960-2873+6560+2225</f>
        <v>125386</v>
      </c>
      <c r="H33" s="120"/>
    </row>
    <row r="34" spans="1:8" ht="12.75" customHeight="1">
      <c r="A34" s="92"/>
      <c r="B34" s="436" t="s">
        <v>35</v>
      </c>
      <c r="C34" s="480"/>
      <c r="D34" s="616">
        <v>116636</v>
      </c>
      <c r="E34" s="627"/>
      <c r="F34" s="131"/>
      <c r="G34" s="667"/>
      <c r="H34" s="66"/>
    </row>
    <row r="35" spans="1:8" ht="14.25" customHeight="1">
      <c r="A35" s="10"/>
      <c r="B35" s="435" t="s">
        <v>509</v>
      </c>
      <c r="C35" s="93"/>
      <c r="D35" s="611">
        <v>109200</v>
      </c>
      <c r="E35" s="628" t="s">
        <v>4</v>
      </c>
      <c r="F35" s="143"/>
      <c r="G35" s="192">
        <f>SUM(G36:G41)</f>
        <v>380285</v>
      </c>
      <c r="H35" s="66"/>
    </row>
    <row r="36" spans="1:8" ht="12.75" customHeight="1">
      <c r="A36" s="25"/>
      <c r="B36" s="436" t="s">
        <v>36</v>
      </c>
      <c r="C36" s="93"/>
      <c r="D36" s="611">
        <v>15484</v>
      </c>
      <c r="E36" s="627"/>
      <c r="F36" s="131" t="s">
        <v>5</v>
      </c>
      <c r="G36" s="115">
        <v>2000</v>
      </c>
      <c r="H36" s="66"/>
    </row>
    <row r="37" spans="1:8" ht="12.75" customHeight="1">
      <c r="A37" s="10"/>
      <c r="B37" s="131" t="s">
        <v>603</v>
      </c>
      <c r="C37" s="131"/>
      <c r="D37" s="611">
        <v>38590</v>
      </c>
      <c r="E37" s="627"/>
      <c r="F37" s="131" t="s">
        <v>6</v>
      </c>
      <c r="G37" s="115">
        <v>12000</v>
      </c>
      <c r="H37" s="66"/>
    </row>
    <row r="38" spans="1:8" ht="12.75" customHeight="1">
      <c r="A38" s="478"/>
      <c r="B38" s="131" t="s">
        <v>37</v>
      </c>
      <c r="C38" s="93"/>
      <c r="D38" s="611">
        <v>196000</v>
      </c>
      <c r="E38" s="627"/>
      <c r="F38" s="131" t="s">
        <v>7</v>
      </c>
      <c r="G38" s="115">
        <v>3000</v>
      </c>
      <c r="H38" s="66"/>
    </row>
    <row r="39" spans="1:8" ht="12.75" customHeight="1">
      <c r="A39" s="617"/>
      <c r="B39" s="618" t="s">
        <v>812</v>
      </c>
      <c r="C39" s="93"/>
      <c r="D39" s="616">
        <v>28000</v>
      </c>
      <c r="E39" s="627"/>
      <c r="F39" s="131" t="s">
        <v>44</v>
      </c>
      <c r="G39" s="115">
        <v>5000</v>
      </c>
      <c r="H39" s="66"/>
    </row>
    <row r="40" spans="1:8" ht="12.75" customHeight="1">
      <c r="A40" s="10"/>
      <c r="B40" s="131"/>
      <c r="C40" s="131"/>
      <c r="D40" s="611"/>
      <c r="E40" s="627"/>
      <c r="F40" s="131" t="s">
        <v>8</v>
      </c>
      <c r="G40" s="115">
        <f>335562+10021</f>
        <v>345583</v>
      </c>
      <c r="H40" s="66"/>
    </row>
    <row r="41" spans="1:8" ht="12.75" customHeight="1">
      <c r="A41" s="604" t="s">
        <v>38</v>
      </c>
      <c r="B41" s="605"/>
      <c r="C41" s="93"/>
      <c r="D41" s="619">
        <f>SUM(D42,D43,D46)</f>
        <v>1351178</v>
      </c>
      <c r="E41" s="627"/>
      <c r="F41" s="131" t="s">
        <v>835</v>
      </c>
      <c r="G41" s="115">
        <v>12702</v>
      </c>
      <c r="H41" s="66"/>
    </row>
    <row r="42" spans="1:8" ht="12.75" customHeight="1">
      <c r="A42" s="479"/>
      <c r="B42" s="606" t="s">
        <v>64</v>
      </c>
      <c r="C42" s="338"/>
      <c r="D42" s="616">
        <v>0</v>
      </c>
      <c r="E42" s="627"/>
      <c r="F42" s="131"/>
      <c r="G42" s="667"/>
      <c r="H42" s="66"/>
    </row>
    <row r="43" spans="1:8" ht="12.75" customHeight="1">
      <c r="A43" s="92"/>
      <c r="B43" s="602" t="s">
        <v>65</v>
      </c>
      <c r="C43" s="338"/>
      <c r="D43" s="616">
        <f>SUM(D44:D45)</f>
        <v>1351178</v>
      </c>
      <c r="E43" s="628" t="s">
        <v>112</v>
      </c>
      <c r="F43" s="131"/>
      <c r="G43" s="500">
        <v>1963</v>
      </c>
      <c r="H43" s="66"/>
    </row>
    <row r="44" spans="1:8" ht="12.75" customHeight="1">
      <c r="A44" s="92"/>
      <c r="B44" s="620" t="s">
        <v>66</v>
      </c>
      <c r="C44" s="480"/>
      <c r="D44" s="616">
        <v>1346313</v>
      </c>
      <c r="E44" s="627"/>
      <c r="F44" s="131"/>
      <c r="G44" s="667"/>
      <c r="H44" s="66"/>
    </row>
    <row r="45" spans="1:8" ht="12.75" customHeight="1">
      <c r="A45" s="92"/>
      <c r="B45" s="620" t="s">
        <v>67</v>
      </c>
      <c r="C45" s="131"/>
      <c r="D45" s="611">
        <v>4865</v>
      </c>
      <c r="E45" s="628" t="s">
        <v>897</v>
      </c>
      <c r="F45" s="606"/>
      <c r="G45" s="192">
        <f>SUM(G46,G48,G47,G49)</f>
        <v>103333</v>
      </c>
      <c r="H45" s="66"/>
    </row>
    <row r="46" spans="1:8" ht="12.75" customHeight="1">
      <c r="A46" s="92"/>
      <c r="B46" s="436"/>
      <c r="C46" s="608"/>
      <c r="D46" s="616"/>
      <c r="E46" s="627"/>
      <c r="F46" s="606" t="s">
        <v>87</v>
      </c>
      <c r="G46" s="432">
        <v>6800</v>
      </c>
      <c r="H46" s="66"/>
    </row>
    <row r="47" spans="1:8" ht="12.75" customHeight="1">
      <c r="A47" s="588" t="s">
        <v>887</v>
      </c>
      <c r="B47" s="436"/>
      <c r="C47" s="608"/>
      <c r="D47" s="612">
        <f>100633+7500</f>
        <v>108133</v>
      </c>
      <c r="E47" s="627"/>
      <c r="F47" s="606" t="s">
        <v>109</v>
      </c>
      <c r="G47" s="432">
        <v>74600</v>
      </c>
      <c r="H47" s="66"/>
    </row>
    <row r="48" spans="1:8" ht="12.75" customHeight="1">
      <c r="A48" s="10"/>
      <c r="B48" s="131"/>
      <c r="C48" s="131"/>
      <c r="D48" s="643"/>
      <c r="E48" s="628"/>
      <c r="F48" s="606" t="s">
        <v>88</v>
      </c>
      <c r="G48" s="432">
        <v>14433</v>
      </c>
      <c r="H48" s="66"/>
    </row>
    <row r="49" spans="1:8" ht="12.75" customHeight="1">
      <c r="A49" s="10"/>
      <c r="B49" s="131"/>
      <c r="C49" s="131"/>
      <c r="D49" s="643"/>
      <c r="E49" s="627"/>
      <c r="F49" s="131" t="s">
        <v>42</v>
      </c>
      <c r="G49" s="115">
        <v>7500</v>
      </c>
      <c r="H49" s="66"/>
    </row>
    <row r="50" spans="1:8" ht="15" customHeight="1">
      <c r="A50" s="10"/>
      <c r="B50" s="131"/>
      <c r="C50" s="131"/>
      <c r="D50" s="643"/>
      <c r="E50" s="628"/>
      <c r="F50" s="480"/>
      <c r="G50" s="500"/>
      <c r="H50" s="66"/>
    </row>
    <row r="51" spans="1:8" ht="24.75" customHeight="1">
      <c r="A51" s="482" t="s">
        <v>558</v>
      </c>
      <c r="B51" s="483"/>
      <c r="C51" s="475"/>
      <c r="D51" s="621">
        <f>SUM(D6,D12,D20,D26,D32,D41,D47)</f>
        <v>6065793</v>
      </c>
      <c r="E51" s="629" t="s">
        <v>559</v>
      </c>
      <c r="F51" s="476"/>
      <c r="G51" s="477">
        <f>SUM(G6,G8,G10,G14,G20,G22,G24,G26,G35,G43,G45)</f>
        <v>7647348</v>
      </c>
      <c r="H51" s="66"/>
    </row>
    <row r="52" spans="1:8" ht="15" customHeight="1">
      <c r="A52" s="857"/>
      <c r="B52" s="858"/>
      <c r="C52" s="131"/>
      <c r="D52" s="611"/>
      <c r="E52" s="629"/>
      <c r="F52" s="476"/>
      <c r="G52" s="477"/>
      <c r="H52" s="66"/>
    </row>
    <row r="53" spans="1:8" ht="15" customHeight="1">
      <c r="A53" s="865" t="s">
        <v>646</v>
      </c>
      <c r="B53" s="866"/>
      <c r="C53" s="480"/>
      <c r="D53" s="612"/>
      <c r="E53" s="629"/>
      <c r="F53" s="476"/>
      <c r="G53" s="477"/>
      <c r="H53" s="66"/>
    </row>
    <row r="54" spans="1:8" ht="15" customHeight="1">
      <c r="A54" s="861" t="s">
        <v>394</v>
      </c>
      <c r="B54" s="862"/>
      <c r="C54" s="131"/>
      <c r="D54" s="611"/>
      <c r="E54" s="629"/>
      <c r="F54" s="476"/>
      <c r="G54" s="477"/>
      <c r="H54" s="66"/>
    </row>
    <row r="55" spans="1:8" ht="15" customHeight="1">
      <c r="A55" s="10" t="s">
        <v>406</v>
      </c>
      <c r="B55" s="131"/>
      <c r="C55" s="131"/>
      <c r="D55" s="611">
        <v>601932</v>
      </c>
      <c r="E55" s="627" t="s">
        <v>517</v>
      </c>
      <c r="F55" s="131"/>
      <c r="G55" s="432">
        <v>20377</v>
      </c>
      <c r="H55" s="66"/>
    </row>
    <row r="56" spans="1:8" ht="15" customHeight="1">
      <c r="A56" s="855" t="s">
        <v>407</v>
      </c>
      <c r="B56" s="856"/>
      <c r="C56" s="93"/>
      <c r="D56" s="611">
        <v>1000000</v>
      </c>
      <c r="E56" s="626" t="s">
        <v>502</v>
      </c>
      <c r="F56" s="141"/>
      <c r="G56" s="192">
        <f>SUM(G55)</f>
        <v>20377</v>
      </c>
      <c r="H56" s="66"/>
    </row>
    <row r="57" spans="1:8" ht="15" customHeight="1">
      <c r="A57" s="859" t="s">
        <v>396</v>
      </c>
      <c r="B57" s="860"/>
      <c r="C57" s="338"/>
      <c r="D57" s="619">
        <f>SUM(D55:D56)</f>
        <v>1601932</v>
      </c>
      <c r="E57" s="626"/>
      <c r="F57" s="141"/>
      <c r="G57" s="192"/>
      <c r="H57" s="66"/>
    </row>
    <row r="58" spans="1:8" ht="15" customHeight="1">
      <c r="A58" s="863"/>
      <c r="B58" s="864"/>
      <c r="C58" s="338"/>
      <c r="D58" s="616"/>
      <c r="E58" s="626"/>
      <c r="F58" s="141"/>
      <c r="G58" s="192"/>
      <c r="H58" s="66"/>
    </row>
    <row r="59" spans="1:8" ht="12.75" customHeight="1" thickBot="1">
      <c r="A59" s="125" t="s">
        <v>889</v>
      </c>
      <c r="B59" s="129"/>
      <c r="C59" s="128"/>
      <c r="D59" s="622">
        <f>SUM(D51+D57)</f>
        <v>7667725</v>
      </c>
      <c r="E59" s="668" t="s">
        <v>898</v>
      </c>
      <c r="F59" s="669"/>
      <c r="G59" s="670">
        <f>SUM(G51+G56)</f>
        <v>7667725</v>
      </c>
      <c r="H59" s="66"/>
    </row>
    <row r="60" spans="1:6" ht="13.5" thickTop="1">
      <c r="A60" s="8"/>
      <c r="B60" s="7"/>
      <c r="C60" s="8"/>
      <c r="D60" s="126"/>
      <c r="E60" s="8"/>
      <c r="F60" s="8"/>
    </row>
  </sheetData>
  <mergeCells count="10">
    <mergeCell ref="A52:B52"/>
    <mergeCell ref="A2:G2"/>
    <mergeCell ref="A4:D4"/>
    <mergeCell ref="E4:G4"/>
    <mergeCell ref="E24:F24"/>
    <mergeCell ref="A57:B57"/>
    <mergeCell ref="A54:B54"/>
    <mergeCell ref="A58:B58"/>
    <mergeCell ref="A53:B53"/>
    <mergeCell ref="A56:B56"/>
  </mergeCells>
  <printOptions horizontalCentered="1"/>
  <pageMargins left="0" right="0" top="0.57" bottom="0.984251968503937" header="0" footer="0"/>
  <pageSetup horizontalDpi="600" verticalDpi="600" orientation="portrait" paperSize="9" scale="65" r:id="rId1"/>
  <headerFooter alignWithMargins="0">
    <oddHeader>&amp;L&amp;8 1. melléklet a 2/2011.(II.25.) önkormányzati rendelethez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C60"/>
  <sheetViews>
    <sheetView workbookViewId="0" topLeftCell="A1">
      <selection activeCell="A2" sqref="A2:C2"/>
    </sheetView>
  </sheetViews>
  <sheetFormatPr defaultColWidth="9.00390625" defaultRowHeight="12.75"/>
  <cols>
    <col min="1" max="1" width="76.375" style="442" customWidth="1"/>
    <col min="2" max="2" width="10.125" style="443" customWidth="1"/>
    <col min="3" max="16384" width="9.125" style="442" customWidth="1"/>
  </cols>
  <sheetData>
    <row r="1" spans="1:2" ht="12.75">
      <c r="A1" s="456"/>
      <c r="B1" s="457"/>
    </row>
    <row r="2" spans="1:3" ht="32.25" customHeight="1">
      <c r="A2" s="908" t="s">
        <v>367</v>
      </c>
      <c r="B2" s="908"/>
      <c r="C2" s="908"/>
    </row>
    <row r="3" spans="1:2" ht="16.5" thickBot="1">
      <c r="A3" s="458"/>
      <c r="B3" s="457"/>
    </row>
    <row r="4" spans="1:3" ht="12.75" customHeight="1" thickTop="1">
      <c r="A4" s="459" t="s">
        <v>152</v>
      </c>
      <c r="B4" s="589" t="s">
        <v>522</v>
      </c>
      <c r="C4" s="469" t="s">
        <v>242</v>
      </c>
    </row>
    <row r="5" spans="1:3" ht="12.75">
      <c r="A5" s="446" t="s">
        <v>223</v>
      </c>
      <c r="B5" s="581">
        <v>71200</v>
      </c>
      <c r="C5" s="585"/>
    </row>
    <row r="6" spans="1:3" ht="12.75">
      <c r="A6" s="446" t="s">
        <v>224</v>
      </c>
      <c r="B6" s="581">
        <v>73550</v>
      </c>
      <c r="C6" s="585"/>
    </row>
    <row r="7" spans="1:3" ht="12.75">
      <c r="A7" s="446" t="s">
        <v>225</v>
      </c>
      <c r="B7" s="581">
        <v>60500</v>
      </c>
      <c r="C7" s="585"/>
    </row>
    <row r="8" spans="1:3" ht="12.75">
      <c r="A8" s="446" t="s">
        <v>226</v>
      </c>
      <c r="B8" s="581">
        <v>15000</v>
      </c>
      <c r="C8" s="585"/>
    </row>
    <row r="9" spans="1:3" ht="12.75">
      <c r="A9" s="446" t="s">
        <v>227</v>
      </c>
      <c r="B9" s="581">
        <v>9600</v>
      </c>
      <c r="C9" s="585"/>
    </row>
    <row r="10" spans="1:3" ht="12.75">
      <c r="A10" s="446" t="s">
        <v>228</v>
      </c>
      <c r="B10" s="581">
        <v>7000</v>
      </c>
      <c r="C10" s="585"/>
    </row>
    <row r="11" spans="1:3" ht="12.75">
      <c r="A11" s="446" t="s">
        <v>229</v>
      </c>
      <c r="B11" s="581">
        <v>5500</v>
      </c>
      <c r="C11" s="585"/>
    </row>
    <row r="12" spans="1:3" ht="12.75">
      <c r="A12" s="446" t="s">
        <v>230</v>
      </c>
      <c r="B12" s="581">
        <v>1000</v>
      </c>
      <c r="C12" s="585"/>
    </row>
    <row r="13" spans="1:3" ht="12.75">
      <c r="A13" s="446" t="s">
        <v>231</v>
      </c>
      <c r="B13" s="581">
        <v>1000</v>
      </c>
      <c r="C13" s="585"/>
    </row>
    <row r="14" spans="1:3" ht="12.75">
      <c r="A14" s="446" t="s">
        <v>385</v>
      </c>
      <c r="B14" s="581">
        <v>3000</v>
      </c>
      <c r="C14" s="585"/>
    </row>
    <row r="15" spans="1:3" ht="12.75">
      <c r="A15" s="446" t="s">
        <v>386</v>
      </c>
      <c r="B15" s="581">
        <v>5000</v>
      </c>
      <c r="C15" s="585"/>
    </row>
    <row r="16" spans="1:3" ht="12.75">
      <c r="A16" s="446" t="s">
        <v>232</v>
      </c>
      <c r="B16" s="581">
        <v>2000</v>
      </c>
      <c r="C16" s="585"/>
    </row>
    <row r="17" spans="1:3" ht="12.75">
      <c r="A17" s="446" t="s">
        <v>233</v>
      </c>
      <c r="B17" s="581">
        <v>4000</v>
      </c>
      <c r="C17" s="585"/>
    </row>
    <row r="18" spans="1:3" ht="12.75">
      <c r="A18" s="446" t="s">
        <v>234</v>
      </c>
      <c r="B18" s="581">
        <v>5000</v>
      </c>
      <c r="C18" s="585"/>
    </row>
    <row r="19" spans="1:3" ht="12.75">
      <c r="A19" s="446" t="s">
        <v>235</v>
      </c>
      <c r="B19" s="581">
        <v>800</v>
      </c>
      <c r="C19" s="585"/>
    </row>
    <row r="20" spans="1:3" ht="12.75">
      <c r="A20" s="446" t="s">
        <v>236</v>
      </c>
      <c r="B20" s="581">
        <v>4000</v>
      </c>
      <c r="C20" s="585"/>
    </row>
    <row r="21" spans="1:3" ht="12.75">
      <c r="A21" s="446" t="s">
        <v>237</v>
      </c>
      <c r="B21" s="581">
        <v>1000</v>
      </c>
      <c r="C21" s="585"/>
    </row>
    <row r="22" spans="1:3" ht="12.75">
      <c r="A22" s="446" t="s">
        <v>238</v>
      </c>
      <c r="B22" s="581">
        <v>25000</v>
      </c>
      <c r="C22" s="585"/>
    </row>
    <row r="23" spans="1:3" ht="12.75">
      <c r="A23" s="446" t="s">
        <v>244</v>
      </c>
      <c r="B23" s="581">
        <v>5250</v>
      </c>
      <c r="C23" s="585"/>
    </row>
    <row r="24" spans="1:3" ht="12.75">
      <c r="A24" s="446" t="s">
        <v>245</v>
      </c>
      <c r="B24" s="581">
        <v>131</v>
      </c>
      <c r="C24" s="585"/>
    </row>
    <row r="25" spans="1:3" ht="12.75">
      <c r="A25" s="446" t="s">
        <v>405</v>
      </c>
      <c r="B25" s="581">
        <v>3000</v>
      </c>
      <c r="C25" s="585"/>
    </row>
    <row r="26" spans="1:3" ht="12.75">
      <c r="A26" s="446" t="s">
        <v>267</v>
      </c>
      <c r="B26" s="581">
        <v>4800</v>
      </c>
      <c r="C26" s="585"/>
    </row>
    <row r="27" spans="1:3" ht="12.75">
      <c r="A27" s="446" t="s">
        <v>268</v>
      </c>
      <c r="B27" s="581">
        <v>800</v>
      </c>
      <c r="C27" s="585"/>
    </row>
    <row r="28" spans="1:3" ht="12.75">
      <c r="A28" s="446" t="s">
        <v>269</v>
      </c>
      <c r="B28" s="581">
        <v>750</v>
      </c>
      <c r="C28" s="585"/>
    </row>
    <row r="29" spans="1:3" ht="12.75">
      <c r="A29" s="446" t="s">
        <v>270</v>
      </c>
      <c r="B29" s="581">
        <v>7000</v>
      </c>
      <c r="C29" s="585"/>
    </row>
    <row r="30" spans="1:3" ht="12.75">
      <c r="A30" s="446" t="s">
        <v>383</v>
      </c>
      <c r="B30" s="581">
        <v>800</v>
      </c>
      <c r="C30" s="585"/>
    </row>
    <row r="31" spans="1:3" ht="12.75">
      <c r="A31" s="446" t="s">
        <v>271</v>
      </c>
      <c r="B31" s="581">
        <v>3000</v>
      </c>
      <c r="C31" s="585"/>
    </row>
    <row r="32" spans="1:3" ht="12.75">
      <c r="A32" s="446" t="s">
        <v>272</v>
      </c>
      <c r="B32" s="581">
        <v>1500</v>
      </c>
      <c r="C32" s="585"/>
    </row>
    <row r="33" spans="1:3" ht="12.75">
      <c r="A33" s="446" t="s">
        <v>273</v>
      </c>
      <c r="B33" s="581">
        <v>500</v>
      </c>
      <c r="C33" s="585"/>
    </row>
    <row r="34" spans="1:3" ht="12.75">
      <c r="A34" s="446" t="s">
        <v>709</v>
      </c>
      <c r="B34" s="581">
        <v>3000</v>
      </c>
      <c r="C34" s="585"/>
    </row>
    <row r="35" spans="1:3" ht="12.75">
      <c r="A35" s="446" t="s">
        <v>710</v>
      </c>
      <c r="B35" s="581">
        <v>700</v>
      </c>
      <c r="C35" s="585"/>
    </row>
    <row r="36" spans="1:3" s="460" customFormat="1" ht="13.5">
      <c r="A36" s="450" t="s">
        <v>549</v>
      </c>
      <c r="B36" s="584">
        <f>SUM(B5:B35)</f>
        <v>325381</v>
      </c>
      <c r="C36" s="451">
        <f>SUM(C5:C33)</f>
        <v>0</v>
      </c>
    </row>
    <row r="37" spans="1:3" ht="12.75">
      <c r="A37" s="446"/>
      <c r="B37" s="581"/>
      <c r="C37" s="585"/>
    </row>
    <row r="38" spans="1:3" ht="12.75" customHeight="1">
      <c r="A38" s="461" t="s">
        <v>488</v>
      </c>
      <c r="B38" s="590"/>
      <c r="C38" s="585"/>
    </row>
    <row r="39" spans="1:3" ht="12.75">
      <c r="A39" s="446" t="s">
        <v>274</v>
      </c>
      <c r="B39" s="581">
        <v>1000</v>
      </c>
      <c r="C39" s="447"/>
    </row>
    <row r="40" spans="1:3" ht="12.75">
      <c r="A40" s="446" t="s">
        <v>278</v>
      </c>
      <c r="B40" s="581">
        <v>4500</v>
      </c>
      <c r="C40" s="447"/>
    </row>
    <row r="41" spans="1:3" ht="12.75">
      <c r="A41" s="446" t="s">
        <v>293</v>
      </c>
      <c r="B41" s="581">
        <v>2468</v>
      </c>
      <c r="C41" s="447"/>
    </row>
    <row r="42" spans="1:3" ht="12.75">
      <c r="A42" s="446" t="s">
        <v>295</v>
      </c>
      <c r="B42" s="581">
        <v>2500</v>
      </c>
      <c r="C42" s="447"/>
    </row>
    <row r="43" spans="1:3" s="460" customFormat="1" ht="13.5">
      <c r="A43" s="450" t="s">
        <v>549</v>
      </c>
      <c r="B43" s="584">
        <f>SUM(B39:B42)</f>
        <v>10468</v>
      </c>
      <c r="C43" s="451">
        <f>SUM(C39:C42)</f>
        <v>0</v>
      </c>
    </row>
    <row r="44" spans="1:3" s="460" customFormat="1" ht="13.5">
      <c r="A44" s="450"/>
      <c r="B44" s="584"/>
      <c r="C44" s="451"/>
    </row>
    <row r="45" spans="1:3" s="445" customFormat="1" ht="12.75">
      <c r="A45" s="448" t="s">
        <v>153</v>
      </c>
      <c r="B45" s="582"/>
      <c r="C45" s="449"/>
    </row>
    <row r="46" spans="1:3" ht="12.75">
      <c r="A46" s="446" t="s">
        <v>275</v>
      </c>
      <c r="B46" s="581">
        <v>10000</v>
      </c>
      <c r="C46" s="447">
        <v>10000</v>
      </c>
    </row>
    <row r="47" spans="1:3" ht="12.75">
      <c r="A47" s="446" t="s">
        <v>276</v>
      </c>
      <c r="B47" s="581">
        <v>28000</v>
      </c>
      <c r="C47" s="447"/>
    </row>
    <row r="48" spans="1:3" ht="12.75">
      <c r="A48" s="446" t="s">
        <v>277</v>
      </c>
      <c r="B48" s="581">
        <v>21183</v>
      </c>
      <c r="C48" s="447"/>
    </row>
    <row r="49" spans="1:3" ht="12.75">
      <c r="A49" s="446" t="s">
        <v>279</v>
      </c>
      <c r="B49" s="581">
        <v>84363</v>
      </c>
      <c r="C49" s="447">
        <v>48363</v>
      </c>
    </row>
    <row r="50" spans="1:3" ht="12.75">
      <c r="A50" s="446" t="s">
        <v>280</v>
      </c>
      <c r="B50" s="581">
        <v>4129</v>
      </c>
      <c r="C50" s="447">
        <v>1929</v>
      </c>
    </row>
    <row r="51" spans="1:3" ht="12.75">
      <c r="A51" s="446" t="s">
        <v>281</v>
      </c>
      <c r="B51" s="581">
        <v>3536</v>
      </c>
      <c r="C51" s="447">
        <v>3536</v>
      </c>
    </row>
    <row r="52" spans="1:3" ht="12.75">
      <c r="A52" s="446" t="s">
        <v>282</v>
      </c>
      <c r="B52" s="581">
        <v>4500</v>
      </c>
      <c r="C52" s="447">
        <v>4500</v>
      </c>
    </row>
    <row r="53" spans="1:3" ht="12.75">
      <c r="A53" s="446" t="s">
        <v>294</v>
      </c>
      <c r="B53" s="581">
        <v>65875</v>
      </c>
      <c r="C53" s="447">
        <v>10000</v>
      </c>
    </row>
    <row r="54" spans="1:3" ht="12.75">
      <c r="A54" s="446" t="s">
        <v>296</v>
      </c>
      <c r="B54" s="581">
        <v>60000</v>
      </c>
      <c r="C54" s="447">
        <v>30000</v>
      </c>
    </row>
    <row r="55" spans="1:3" ht="12.75">
      <c r="A55" s="446" t="s">
        <v>291</v>
      </c>
      <c r="B55" s="581">
        <v>1575</v>
      </c>
      <c r="C55" s="447"/>
    </row>
    <row r="56" spans="1:3" ht="12.75">
      <c r="A56" s="446" t="s">
        <v>290</v>
      </c>
      <c r="B56" s="581">
        <v>3975</v>
      </c>
      <c r="C56" s="447">
        <v>3975</v>
      </c>
    </row>
    <row r="57" spans="1:3" ht="12.75">
      <c r="A57" s="446" t="s">
        <v>284</v>
      </c>
      <c r="B57" s="581">
        <v>6267</v>
      </c>
      <c r="C57" s="447">
        <v>6267</v>
      </c>
    </row>
    <row r="58" spans="1:3" s="460" customFormat="1" ht="13.5">
      <c r="A58" s="450" t="s">
        <v>549</v>
      </c>
      <c r="B58" s="584">
        <f>SUM(B46:B57)</f>
        <v>293403</v>
      </c>
      <c r="C58" s="451">
        <f>SUM(C46:C57)</f>
        <v>118570</v>
      </c>
    </row>
    <row r="59" spans="1:3" ht="12.75">
      <c r="A59" s="446"/>
      <c r="B59" s="581"/>
      <c r="C59" s="585"/>
    </row>
    <row r="60" spans="1:3" s="445" customFormat="1" ht="13.5" thickBot="1">
      <c r="A60" s="462" t="s">
        <v>528</v>
      </c>
      <c r="B60" s="591">
        <f>SUM(B36,B43,B58)</f>
        <v>629252</v>
      </c>
      <c r="C60" s="463">
        <f>SUM(C36,C43,C58)</f>
        <v>118570</v>
      </c>
    </row>
    <row r="61" ht="13.5" thickTop="1"/>
  </sheetData>
  <mergeCells count="1">
    <mergeCell ref="A2:C2"/>
  </mergeCells>
  <printOptions horizontalCentered="1" verticalCentered="1"/>
  <pageMargins left="0.35433070866141736" right="0.31496062992125984" top="0.2362204724409449" bottom="0.3937007874015748" header="0.2362204724409449" footer="0.5118110236220472"/>
  <pageSetup horizontalDpi="600" verticalDpi="600" orientation="portrait" paperSize="9" r:id="rId1"/>
  <headerFooter alignWithMargins="0">
    <oddHeader>&amp;L&amp;8 9. melléklet a 2/2011.(II.25.) önkormányzati rendelethez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B51"/>
  <sheetViews>
    <sheetView workbookViewId="0" topLeftCell="A1">
      <selection activeCell="B22" sqref="B22"/>
    </sheetView>
  </sheetViews>
  <sheetFormatPr defaultColWidth="9.00390625" defaultRowHeight="12.75"/>
  <cols>
    <col min="1" max="1" width="66.625" style="442" customWidth="1"/>
    <col min="2" max="2" width="9.125" style="443" customWidth="1"/>
    <col min="3" max="16384" width="9.125" style="442" customWidth="1"/>
  </cols>
  <sheetData>
    <row r="1" spans="1:2" ht="15.75">
      <c r="A1" s="464"/>
      <c r="B1" s="465"/>
    </row>
    <row r="2" spans="1:2" ht="15.75">
      <c r="A2" s="464"/>
      <c r="B2" s="465"/>
    </row>
    <row r="3" spans="1:2" ht="15.75">
      <c r="A3" s="909" t="s">
        <v>631</v>
      </c>
      <c r="B3" s="910"/>
    </row>
    <row r="4" spans="1:2" ht="15.75">
      <c r="A4" s="909" t="s">
        <v>489</v>
      </c>
      <c r="B4" s="910"/>
    </row>
    <row r="5" spans="1:2" ht="15.75">
      <c r="A5" s="911" t="s">
        <v>387</v>
      </c>
      <c r="B5" s="910"/>
    </row>
    <row r="6" spans="1:2" ht="13.5" thickBot="1">
      <c r="A6" s="466"/>
      <c r="B6" s="467"/>
    </row>
    <row r="7" spans="1:2" ht="13.5" thickTop="1">
      <c r="A7" s="468" t="s">
        <v>553</v>
      </c>
      <c r="B7" s="469" t="s">
        <v>521</v>
      </c>
    </row>
    <row r="8" spans="1:2" ht="12.75">
      <c r="A8" s="470"/>
      <c r="B8" s="471"/>
    </row>
    <row r="9" spans="1:2" ht="12.75">
      <c r="A9" s="448" t="s">
        <v>632</v>
      </c>
      <c r="B9" s="447"/>
    </row>
    <row r="10" spans="1:2" ht="12.75">
      <c r="A10" s="446" t="s">
        <v>297</v>
      </c>
      <c r="B10" s="447">
        <v>40302</v>
      </c>
    </row>
    <row r="11" spans="1:2" ht="12.75">
      <c r="A11" s="446" t="s">
        <v>298</v>
      </c>
      <c r="B11" s="447">
        <v>14162</v>
      </c>
    </row>
    <row r="12" spans="1:2" ht="12.75">
      <c r="A12" s="446" t="s">
        <v>806</v>
      </c>
      <c r="B12" s="447">
        <v>2450</v>
      </c>
    </row>
    <row r="13" spans="1:2" ht="12.75">
      <c r="A13" s="446" t="s">
        <v>299</v>
      </c>
      <c r="B13" s="447">
        <v>17002</v>
      </c>
    </row>
    <row r="14" spans="1:2" ht="12.75">
      <c r="A14" s="446" t="s">
        <v>300</v>
      </c>
      <c r="B14" s="447">
        <v>8000</v>
      </c>
    </row>
    <row r="15" spans="1:2" ht="12.75">
      <c r="A15" s="446" t="s">
        <v>630</v>
      </c>
      <c r="B15" s="447">
        <v>1500</v>
      </c>
    </row>
    <row r="16" spans="1:2" ht="12.75">
      <c r="A16" s="446" t="s">
        <v>301</v>
      </c>
      <c r="B16" s="447">
        <v>32317</v>
      </c>
    </row>
    <row r="17" spans="1:2" ht="12.75">
      <c r="A17" s="446" t="s">
        <v>302</v>
      </c>
      <c r="B17" s="447">
        <v>1698</v>
      </c>
    </row>
    <row r="18" spans="1:2" ht="12.75">
      <c r="A18" s="446" t="s">
        <v>303</v>
      </c>
      <c r="B18" s="447">
        <v>3</v>
      </c>
    </row>
    <row r="19" spans="1:2" ht="12.75">
      <c r="A19" s="446" t="s">
        <v>304</v>
      </c>
      <c r="B19" s="447">
        <v>750</v>
      </c>
    </row>
    <row r="20" spans="1:2" ht="12.75">
      <c r="A20" s="446" t="s">
        <v>642</v>
      </c>
      <c r="B20" s="447">
        <v>1710</v>
      </c>
    </row>
    <row r="21" spans="1:2" ht="12.75">
      <c r="A21" s="446" t="s">
        <v>48</v>
      </c>
      <c r="B21" s="447">
        <v>20509</v>
      </c>
    </row>
    <row r="22" spans="1:2" s="445" customFormat="1" ht="12.75">
      <c r="A22" s="448" t="s">
        <v>549</v>
      </c>
      <c r="B22" s="449">
        <f>SUM(B10:B21)</f>
        <v>140403</v>
      </c>
    </row>
    <row r="23" spans="1:2" ht="12.75">
      <c r="A23" s="446"/>
      <c r="B23" s="447"/>
    </row>
    <row r="24" spans="1:2" ht="12.75">
      <c r="A24" s="448" t="s">
        <v>633</v>
      </c>
      <c r="B24" s="447"/>
    </row>
    <row r="25" spans="1:2" ht="12.75">
      <c r="A25" s="446" t="s">
        <v>841</v>
      </c>
      <c r="B25" s="447">
        <v>3035</v>
      </c>
    </row>
    <row r="26" spans="1:2" ht="12.75">
      <c r="A26" s="446" t="s">
        <v>305</v>
      </c>
      <c r="B26" s="447">
        <v>46933</v>
      </c>
    </row>
    <row r="27" spans="1:2" ht="12.75">
      <c r="A27" s="446" t="s">
        <v>117</v>
      </c>
      <c r="B27" s="447">
        <v>320773</v>
      </c>
    </row>
    <row r="28" spans="1:2" ht="12.75">
      <c r="A28" s="446" t="s">
        <v>26</v>
      </c>
      <c r="B28" s="447">
        <v>699000</v>
      </c>
    </row>
    <row r="29" spans="1:2" ht="12.75">
      <c r="A29" s="446" t="s">
        <v>306</v>
      </c>
      <c r="B29" s="447">
        <v>43445</v>
      </c>
    </row>
    <row r="30" spans="1:2" ht="12.75">
      <c r="A30" s="446" t="s">
        <v>307</v>
      </c>
      <c r="B30" s="447">
        <v>125177</v>
      </c>
    </row>
    <row r="31" spans="1:2" ht="12.75">
      <c r="A31" s="446" t="s">
        <v>308</v>
      </c>
      <c r="B31" s="447">
        <v>39686</v>
      </c>
    </row>
    <row r="32" spans="1:2" ht="12.75">
      <c r="A32" s="446" t="s">
        <v>247</v>
      </c>
      <c r="B32" s="447">
        <v>56264</v>
      </c>
    </row>
    <row r="33" spans="1:2" ht="12.75">
      <c r="A33" s="446" t="s">
        <v>711</v>
      </c>
      <c r="B33" s="447">
        <v>12000</v>
      </c>
    </row>
    <row r="34" spans="1:2" s="445" customFormat="1" ht="12.75">
      <c r="A34" s="448" t="s">
        <v>549</v>
      </c>
      <c r="B34" s="449">
        <f>SUM(B25:B33)</f>
        <v>1346313</v>
      </c>
    </row>
    <row r="35" spans="1:2" ht="12.75">
      <c r="A35" s="446"/>
      <c r="B35" s="447"/>
    </row>
    <row r="36" spans="1:2" ht="12.75">
      <c r="A36" s="448" t="s">
        <v>309</v>
      </c>
      <c r="B36" s="447"/>
    </row>
    <row r="37" spans="1:2" ht="12.75">
      <c r="A37" s="446" t="s">
        <v>358</v>
      </c>
      <c r="B37" s="447">
        <v>1000</v>
      </c>
    </row>
    <row r="38" spans="1:2" ht="12.75">
      <c r="A38" s="446" t="s">
        <v>359</v>
      </c>
      <c r="B38" s="447">
        <v>1378</v>
      </c>
    </row>
    <row r="39" spans="1:2" ht="12.75">
      <c r="A39" s="446" t="s">
        <v>360</v>
      </c>
      <c r="B39" s="447">
        <v>8692</v>
      </c>
    </row>
    <row r="40" spans="1:2" ht="12.75">
      <c r="A40" s="446" t="s">
        <v>361</v>
      </c>
      <c r="B40" s="447">
        <v>9777</v>
      </c>
    </row>
    <row r="41" spans="1:2" s="445" customFormat="1" ht="12.75">
      <c r="A41" s="448" t="s">
        <v>549</v>
      </c>
      <c r="B41" s="449">
        <f>SUM(B37:B40)</f>
        <v>20847</v>
      </c>
    </row>
    <row r="42" spans="1:2" ht="12.75">
      <c r="A42" s="446"/>
      <c r="B42" s="447"/>
    </row>
    <row r="43" spans="1:2" ht="12.75">
      <c r="A43" s="446"/>
      <c r="B43" s="447"/>
    </row>
    <row r="44" spans="1:2" ht="12.75">
      <c r="A44" s="448" t="s">
        <v>362</v>
      </c>
      <c r="B44" s="447"/>
    </row>
    <row r="45" spans="1:2" ht="12.75">
      <c r="A45" s="446" t="s">
        <v>363</v>
      </c>
      <c r="B45" s="447">
        <v>1000</v>
      </c>
    </row>
    <row r="46" spans="1:2" ht="12.75">
      <c r="A46" s="446" t="s">
        <v>364</v>
      </c>
      <c r="B46" s="447">
        <v>2468</v>
      </c>
    </row>
    <row r="47" spans="1:2" ht="12.75">
      <c r="A47" s="446" t="s">
        <v>365</v>
      </c>
      <c r="B47" s="447">
        <v>1000</v>
      </c>
    </row>
    <row r="48" spans="1:2" ht="12.75">
      <c r="A48" s="446" t="s">
        <v>712</v>
      </c>
      <c r="B48" s="447">
        <v>397</v>
      </c>
    </row>
    <row r="49" spans="1:2" s="445" customFormat="1" ht="12.75">
      <c r="A49" s="448" t="s">
        <v>549</v>
      </c>
      <c r="B49" s="449">
        <f>SUM(B45:B48)</f>
        <v>4865</v>
      </c>
    </row>
    <row r="50" spans="1:2" ht="12.75">
      <c r="A50" s="446"/>
      <c r="B50" s="447"/>
    </row>
    <row r="51" spans="1:2" ht="13.5" thickBot="1">
      <c r="A51" s="453" t="s">
        <v>528</v>
      </c>
      <c r="B51" s="454">
        <f>SUM(B22,B34,B41,B49)</f>
        <v>1512428</v>
      </c>
    </row>
    <row r="52" ht="13.5" thickTop="1"/>
  </sheetData>
  <mergeCells count="3">
    <mergeCell ref="A3:B3"/>
    <mergeCell ref="A4:B4"/>
    <mergeCell ref="A5:B5"/>
  </mergeCells>
  <printOptions horizontalCentered="1"/>
  <pageMargins left="0.7874015748031497" right="0.2362204724409449" top="0.6692913385826772" bottom="0.984251968503937" header="0.5118110236220472" footer="0.5118110236220472"/>
  <pageSetup horizontalDpi="600" verticalDpi="600" orientation="portrait" paperSize="9" r:id="rId1"/>
  <headerFooter alignWithMargins="0">
    <oddHeader>&amp;L&amp;8 10. melléklet a 2/2011.(II.25.) önkormányzati rendelethez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B130"/>
  <sheetViews>
    <sheetView zoomScaleSheetLayoutView="100" workbookViewId="0" topLeftCell="A1">
      <selection activeCell="B5" sqref="B5"/>
    </sheetView>
  </sheetViews>
  <sheetFormatPr defaultColWidth="9.00390625" defaultRowHeight="12.75"/>
  <cols>
    <col min="1" max="1" width="45.875" style="768" customWidth="1"/>
    <col min="2" max="2" width="86.75390625" style="768" customWidth="1"/>
    <col min="3" max="16384" width="9.125" style="768" customWidth="1"/>
  </cols>
  <sheetData>
    <row r="1" spans="1:2" ht="18.75">
      <c r="A1" s="912" t="s">
        <v>154</v>
      </c>
      <c r="B1" s="912"/>
    </row>
    <row r="2" spans="1:2" ht="19.5" customHeight="1">
      <c r="A2" s="769"/>
      <c r="B2" s="769"/>
    </row>
    <row r="3" spans="1:2" ht="19.5" customHeight="1">
      <c r="A3" s="770" t="s">
        <v>155</v>
      </c>
      <c r="B3" s="769"/>
    </row>
    <row r="4" spans="1:2" ht="19.5" customHeight="1" thickBot="1">
      <c r="A4" s="769"/>
      <c r="B4" s="769"/>
    </row>
    <row r="5" spans="1:2" ht="15" customHeight="1" thickTop="1">
      <c r="A5" s="771" t="s">
        <v>156</v>
      </c>
      <c r="B5" s="772" t="s">
        <v>157</v>
      </c>
    </row>
    <row r="6" spans="1:2" ht="15" customHeight="1">
      <c r="A6" s="773" t="s">
        <v>158</v>
      </c>
      <c r="B6" s="774">
        <v>40148</v>
      </c>
    </row>
    <row r="7" spans="1:2" ht="15" customHeight="1">
      <c r="A7" s="773" t="s">
        <v>159</v>
      </c>
      <c r="B7" s="775" t="s">
        <v>160</v>
      </c>
    </row>
    <row r="8" spans="1:2" ht="15" customHeight="1">
      <c r="A8" s="773" t="s">
        <v>161</v>
      </c>
      <c r="B8" s="776">
        <f>SUM(B9:B11)</f>
        <v>794975</v>
      </c>
    </row>
    <row r="9" spans="1:2" ht="15" customHeight="1">
      <c r="A9" s="773" t="s">
        <v>162</v>
      </c>
      <c r="B9" s="775">
        <f>794975-B11</f>
        <v>260353</v>
      </c>
    </row>
    <row r="10" spans="1:2" ht="15" customHeight="1">
      <c r="A10" s="773" t="s">
        <v>163</v>
      </c>
      <c r="B10" s="775" t="s">
        <v>164</v>
      </c>
    </row>
    <row r="11" spans="1:2" ht="15" customHeight="1">
      <c r="A11" s="773" t="s">
        <v>165</v>
      </c>
      <c r="B11" s="775">
        <v>534622</v>
      </c>
    </row>
    <row r="12" spans="1:2" ht="15" customHeight="1">
      <c r="A12" s="773" t="s">
        <v>353</v>
      </c>
      <c r="B12" s="776">
        <v>794975</v>
      </c>
    </row>
    <row r="13" spans="1:2" ht="15" customHeight="1">
      <c r="A13" s="777"/>
      <c r="B13" s="778"/>
    </row>
    <row r="14" spans="1:2" ht="15" customHeight="1">
      <c r="A14" s="773" t="s">
        <v>156</v>
      </c>
      <c r="B14" s="779" t="s">
        <v>166</v>
      </c>
    </row>
    <row r="15" spans="1:2" ht="15" customHeight="1">
      <c r="A15" s="773" t="s">
        <v>158</v>
      </c>
      <c r="B15" s="774">
        <v>39993</v>
      </c>
    </row>
    <row r="16" spans="1:2" ht="15" customHeight="1">
      <c r="A16" s="773" t="s">
        <v>159</v>
      </c>
      <c r="B16" s="775" t="s">
        <v>167</v>
      </c>
    </row>
    <row r="17" spans="1:2" ht="15" customHeight="1">
      <c r="A17" s="773" t="s">
        <v>161</v>
      </c>
      <c r="B17" s="776">
        <f>SUM(B18:B20)</f>
        <v>458724</v>
      </c>
    </row>
    <row r="18" spans="1:2" ht="15" customHeight="1">
      <c r="A18" s="773" t="s">
        <v>162</v>
      </c>
      <c r="B18" s="775">
        <f>458724-B20</f>
        <v>316127</v>
      </c>
    </row>
    <row r="19" spans="1:2" ht="15" customHeight="1">
      <c r="A19" s="773" t="s">
        <v>163</v>
      </c>
      <c r="B19" s="775" t="s">
        <v>164</v>
      </c>
    </row>
    <row r="20" spans="1:2" ht="15" customHeight="1">
      <c r="A20" s="773" t="s">
        <v>165</v>
      </c>
      <c r="B20" s="775">
        <v>142597</v>
      </c>
    </row>
    <row r="21" spans="1:2" ht="15" customHeight="1">
      <c r="A21" s="773" t="s">
        <v>353</v>
      </c>
      <c r="B21" s="776">
        <v>458724</v>
      </c>
    </row>
    <row r="22" spans="1:2" ht="15" customHeight="1">
      <c r="A22" s="777"/>
      <c r="B22" s="778"/>
    </row>
    <row r="23" spans="1:2" ht="15" customHeight="1">
      <c r="A23" s="773" t="s">
        <v>156</v>
      </c>
      <c r="B23" s="779" t="s">
        <v>168</v>
      </c>
    </row>
    <row r="24" spans="1:2" ht="15" customHeight="1">
      <c r="A24" s="773" t="s">
        <v>158</v>
      </c>
      <c r="B24" s="774">
        <v>39958</v>
      </c>
    </row>
    <row r="25" spans="1:2" ht="15" customHeight="1">
      <c r="A25" s="773" t="s">
        <v>159</v>
      </c>
      <c r="B25" s="775" t="s">
        <v>169</v>
      </c>
    </row>
    <row r="26" spans="1:2" ht="15" customHeight="1">
      <c r="A26" s="773" t="s">
        <v>161</v>
      </c>
      <c r="B26" s="780">
        <f>SUM(B27:B29)</f>
        <v>524993</v>
      </c>
    </row>
    <row r="27" spans="1:2" ht="15" customHeight="1">
      <c r="A27" s="773" t="s">
        <v>162</v>
      </c>
      <c r="B27" s="781">
        <f>B30-B29</f>
        <v>277194</v>
      </c>
    </row>
    <row r="28" spans="1:2" ht="15" customHeight="1">
      <c r="A28" s="773" t="s">
        <v>163</v>
      </c>
      <c r="B28" s="775" t="s">
        <v>164</v>
      </c>
    </row>
    <row r="29" spans="1:2" ht="15" customHeight="1">
      <c r="A29" s="773" t="s">
        <v>165</v>
      </c>
      <c r="B29" s="775">
        <v>247799</v>
      </c>
    </row>
    <row r="30" spans="1:2" ht="15" customHeight="1">
      <c r="A30" s="773" t="s">
        <v>353</v>
      </c>
      <c r="B30" s="776">
        <v>524993</v>
      </c>
    </row>
    <row r="31" spans="1:2" ht="15" customHeight="1">
      <c r="A31" s="777"/>
      <c r="B31" s="778"/>
    </row>
    <row r="32" spans="1:2" ht="15" customHeight="1">
      <c r="A32" s="782" t="s">
        <v>156</v>
      </c>
      <c r="B32" s="783" t="s">
        <v>170</v>
      </c>
    </row>
    <row r="33" spans="1:2" ht="15" customHeight="1">
      <c r="A33" s="773" t="s">
        <v>158</v>
      </c>
      <c r="B33" s="775" t="s">
        <v>171</v>
      </c>
    </row>
    <row r="34" spans="1:2" ht="15" customHeight="1">
      <c r="A34" s="773" t="s">
        <v>159</v>
      </c>
      <c r="B34" s="775" t="s">
        <v>172</v>
      </c>
    </row>
    <row r="35" spans="1:2" ht="15" customHeight="1">
      <c r="A35" s="773" t="s">
        <v>161</v>
      </c>
      <c r="B35" s="776">
        <f>SUM(B36:B38)</f>
        <v>21738</v>
      </c>
    </row>
    <row r="36" spans="1:2" ht="15" customHeight="1">
      <c r="A36" s="773" t="s">
        <v>162</v>
      </c>
      <c r="B36" s="775">
        <v>1741</v>
      </c>
    </row>
    <row r="37" spans="1:2" ht="15" customHeight="1">
      <c r="A37" s="773" t="s">
        <v>163</v>
      </c>
      <c r="B37" s="775" t="s">
        <v>164</v>
      </c>
    </row>
    <row r="38" spans="1:2" ht="15" customHeight="1">
      <c r="A38" s="773" t="s">
        <v>165</v>
      </c>
      <c r="B38" s="775">
        <v>19997</v>
      </c>
    </row>
    <row r="39" spans="1:2" ht="15" customHeight="1">
      <c r="A39" s="773" t="s">
        <v>353</v>
      </c>
      <c r="B39" s="776">
        <v>21738</v>
      </c>
    </row>
    <row r="40" spans="1:2" ht="15" customHeight="1">
      <c r="A40" s="777"/>
      <c r="B40" s="778"/>
    </row>
    <row r="41" spans="1:2" ht="15" customHeight="1">
      <c r="A41" s="782" t="s">
        <v>156</v>
      </c>
      <c r="B41" s="783" t="s">
        <v>173</v>
      </c>
    </row>
    <row r="42" spans="1:2" ht="15" customHeight="1">
      <c r="A42" s="773" t="s">
        <v>174</v>
      </c>
      <c r="B42" s="775" t="s">
        <v>175</v>
      </c>
    </row>
    <row r="43" spans="1:2" ht="15" customHeight="1">
      <c r="A43" s="773" t="s">
        <v>159</v>
      </c>
      <c r="B43" s="784">
        <v>2010</v>
      </c>
    </row>
    <row r="44" spans="1:2" ht="15" customHeight="1">
      <c r="A44" s="773" t="s">
        <v>161</v>
      </c>
      <c r="B44" s="776">
        <f>SUM(B45:B47)</f>
        <v>74051</v>
      </c>
    </row>
    <row r="45" spans="1:2" ht="15" customHeight="1">
      <c r="A45" s="773" t="s">
        <v>162</v>
      </c>
      <c r="B45" s="775">
        <f>B48-B47</f>
        <v>21696</v>
      </c>
    </row>
    <row r="46" spans="1:2" ht="15" customHeight="1">
      <c r="A46" s="773" t="s">
        <v>163</v>
      </c>
      <c r="B46" s="775"/>
    </row>
    <row r="47" spans="1:2" ht="15" customHeight="1">
      <c r="A47" s="773" t="s">
        <v>165</v>
      </c>
      <c r="B47" s="775">
        <v>52355</v>
      </c>
    </row>
    <row r="48" spans="1:2" ht="15" customHeight="1">
      <c r="A48" s="773" t="s">
        <v>353</v>
      </c>
      <c r="B48" s="776">
        <v>74051</v>
      </c>
    </row>
    <row r="49" spans="1:2" ht="15" customHeight="1">
      <c r="A49" s="777"/>
      <c r="B49" s="778"/>
    </row>
    <row r="50" spans="1:2" ht="15" customHeight="1">
      <c r="A50" s="807" t="s">
        <v>156</v>
      </c>
      <c r="B50" s="808" t="s">
        <v>176</v>
      </c>
    </row>
    <row r="51" spans="1:2" ht="15" customHeight="1">
      <c r="A51" s="773" t="s">
        <v>174</v>
      </c>
      <c r="B51" s="775" t="s">
        <v>177</v>
      </c>
    </row>
    <row r="52" spans="1:2" ht="15" customHeight="1">
      <c r="A52" s="773" t="s">
        <v>159</v>
      </c>
      <c r="B52" s="784" t="s">
        <v>178</v>
      </c>
    </row>
    <row r="53" spans="1:2" ht="15" customHeight="1">
      <c r="A53" s="773" t="s">
        <v>161</v>
      </c>
      <c r="B53" s="776">
        <f>SUM(B54:B56)</f>
        <v>214384</v>
      </c>
    </row>
    <row r="54" spans="1:2" ht="15" customHeight="1">
      <c r="A54" s="773" t="s">
        <v>179</v>
      </c>
      <c r="B54" s="775">
        <v>64315</v>
      </c>
    </row>
    <row r="55" spans="1:2" ht="15" customHeight="1">
      <c r="A55" s="773" t="s">
        <v>163</v>
      </c>
      <c r="B55" s="775"/>
    </row>
    <row r="56" spans="1:2" ht="15" customHeight="1">
      <c r="A56" s="773" t="s">
        <v>165</v>
      </c>
      <c r="B56" s="775">
        <v>150069</v>
      </c>
    </row>
    <row r="57" spans="1:2" ht="15" customHeight="1">
      <c r="A57" s="773" t="s">
        <v>353</v>
      </c>
      <c r="B57" s="776">
        <f>B53</f>
        <v>214384</v>
      </c>
    </row>
    <row r="58" spans="1:2" ht="15" customHeight="1">
      <c r="A58" s="777"/>
      <c r="B58" s="778"/>
    </row>
    <row r="59" spans="1:2" ht="15" customHeight="1">
      <c r="A59" s="782" t="s">
        <v>156</v>
      </c>
      <c r="B59" s="783" t="s">
        <v>180</v>
      </c>
    </row>
    <row r="60" spans="1:2" ht="15" customHeight="1">
      <c r="A60" s="773" t="s">
        <v>174</v>
      </c>
      <c r="B60" s="775" t="s">
        <v>181</v>
      </c>
    </row>
    <row r="61" spans="1:2" ht="15" customHeight="1">
      <c r="A61" s="773" t="s">
        <v>159</v>
      </c>
      <c r="B61" s="775" t="s">
        <v>182</v>
      </c>
    </row>
    <row r="62" spans="1:2" ht="15" customHeight="1">
      <c r="A62" s="773" t="s">
        <v>161</v>
      </c>
      <c r="B62" s="776">
        <f>SUM(B63:B65)</f>
        <v>1280605</v>
      </c>
    </row>
    <row r="63" spans="1:2" ht="15" customHeight="1">
      <c r="A63" s="773" t="s">
        <v>162</v>
      </c>
      <c r="B63" s="775">
        <f>B66-B65</f>
        <v>581605</v>
      </c>
    </row>
    <row r="64" spans="1:2" ht="15" customHeight="1">
      <c r="A64" s="773" t="s">
        <v>163</v>
      </c>
      <c r="B64" s="775"/>
    </row>
    <row r="65" spans="1:2" ht="15" customHeight="1">
      <c r="A65" s="773" t="s">
        <v>165</v>
      </c>
      <c r="B65" s="775">
        <v>699000</v>
      </c>
    </row>
    <row r="66" spans="1:2" ht="15" customHeight="1">
      <c r="A66" s="773" t="s">
        <v>353</v>
      </c>
      <c r="B66" s="776">
        <v>1280605</v>
      </c>
    </row>
    <row r="67" spans="1:2" ht="15" customHeight="1" thickBot="1">
      <c r="A67" s="809"/>
      <c r="B67" s="810"/>
    </row>
    <row r="68" spans="1:2" ht="15" customHeight="1" thickTop="1">
      <c r="A68" s="812" t="s">
        <v>156</v>
      </c>
      <c r="B68" s="813" t="s">
        <v>183</v>
      </c>
    </row>
    <row r="69" spans="1:2" ht="15" customHeight="1">
      <c r="A69" s="773" t="s">
        <v>174</v>
      </c>
      <c r="B69" s="775" t="s">
        <v>184</v>
      </c>
    </row>
    <row r="70" spans="1:2" ht="15" customHeight="1">
      <c r="A70" s="773" t="s">
        <v>159</v>
      </c>
      <c r="B70" s="784">
        <v>2011</v>
      </c>
    </row>
    <row r="71" spans="1:2" ht="15" customHeight="1">
      <c r="A71" s="773" t="s">
        <v>161</v>
      </c>
      <c r="B71" s="776">
        <f>SUM(B72:B74)</f>
        <v>65337</v>
      </c>
    </row>
    <row r="72" spans="1:2" ht="15" customHeight="1">
      <c r="A72" s="773" t="s">
        <v>162</v>
      </c>
      <c r="B72" s="775">
        <f>B75-B74</f>
        <v>22521</v>
      </c>
    </row>
    <row r="73" spans="1:2" ht="15" customHeight="1">
      <c r="A73" s="773" t="s">
        <v>163</v>
      </c>
      <c r="B73" s="775"/>
    </row>
    <row r="74" spans="1:2" ht="15" customHeight="1">
      <c r="A74" s="773" t="s">
        <v>165</v>
      </c>
      <c r="B74" s="775">
        <v>42816</v>
      </c>
    </row>
    <row r="75" spans="1:2" ht="15" customHeight="1">
      <c r="A75" s="773" t="s">
        <v>353</v>
      </c>
      <c r="B75" s="776">
        <v>65337</v>
      </c>
    </row>
    <row r="76" spans="1:2" ht="15" customHeight="1">
      <c r="A76" s="777"/>
      <c r="B76" s="778"/>
    </row>
    <row r="77" spans="1:2" ht="15" customHeight="1">
      <c r="A77" s="782" t="s">
        <v>156</v>
      </c>
      <c r="B77" s="783" t="s">
        <v>185</v>
      </c>
    </row>
    <row r="78" spans="1:2" ht="15" customHeight="1">
      <c r="A78" s="773" t="s">
        <v>174</v>
      </c>
      <c r="B78" s="775" t="s">
        <v>186</v>
      </c>
    </row>
    <row r="79" spans="1:2" ht="15" customHeight="1">
      <c r="A79" s="773" t="s">
        <v>159</v>
      </c>
      <c r="B79" s="775" t="s">
        <v>187</v>
      </c>
    </row>
    <row r="80" spans="1:2" ht="15" customHeight="1">
      <c r="A80" s="773" t="s">
        <v>161</v>
      </c>
      <c r="B80" s="776">
        <f>SUM(B81:B83)</f>
        <v>155758</v>
      </c>
    </row>
    <row r="81" spans="1:2" ht="15" customHeight="1">
      <c r="A81" s="773" t="s">
        <v>162</v>
      </c>
      <c r="B81" s="775">
        <f>B84-B83</f>
        <v>23977</v>
      </c>
    </row>
    <row r="82" spans="1:2" ht="15" customHeight="1">
      <c r="A82" s="773" t="s">
        <v>163</v>
      </c>
      <c r="B82" s="775"/>
    </row>
    <row r="83" spans="1:2" ht="15" customHeight="1">
      <c r="A83" s="773" t="s">
        <v>165</v>
      </c>
      <c r="B83" s="775">
        <v>131781</v>
      </c>
    </row>
    <row r="84" spans="1:2" ht="15" customHeight="1">
      <c r="A84" s="773" t="s">
        <v>353</v>
      </c>
      <c r="B84" s="776">
        <v>155758</v>
      </c>
    </row>
    <row r="85" spans="1:2" ht="15" customHeight="1">
      <c r="A85" s="777"/>
      <c r="B85" s="785"/>
    </row>
    <row r="86" spans="1:2" ht="15" customHeight="1">
      <c r="A86" s="782" t="s">
        <v>156</v>
      </c>
      <c r="B86" s="783" t="s">
        <v>188</v>
      </c>
    </row>
    <row r="87" spans="1:2" ht="15" customHeight="1">
      <c r="A87" s="773" t="s">
        <v>174</v>
      </c>
      <c r="B87" s="775" t="s">
        <v>189</v>
      </c>
    </row>
    <row r="88" spans="1:2" ht="15" customHeight="1">
      <c r="A88" s="773" t="s">
        <v>159</v>
      </c>
      <c r="B88" s="775" t="s">
        <v>190</v>
      </c>
    </row>
    <row r="89" spans="1:2" ht="15" customHeight="1">
      <c r="A89" s="773" t="s">
        <v>161</v>
      </c>
      <c r="B89" s="776">
        <f>SUM(B90:B92)</f>
        <v>142322</v>
      </c>
    </row>
    <row r="90" spans="1:2" ht="15" customHeight="1">
      <c r="A90" s="773" t="s">
        <v>162</v>
      </c>
      <c r="B90" s="775">
        <f>B93-B92</f>
        <v>86058</v>
      </c>
    </row>
    <row r="91" spans="1:2" ht="15" customHeight="1">
      <c r="A91" s="773" t="s">
        <v>163</v>
      </c>
      <c r="B91" s="775" t="s">
        <v>164</v>
      </c>
    </row>
    <row r="92" spans="1:2" ht="15" customHeight="1">
      <c r="A92" s="773" t="s">
        <v>165</v>
      </c>
      <c r="B92" s="775">
        <v>56264</v>
      </c>
    </row>
    <row r="93" spans="1:2" ht="15" customHeight="1">
      <c r="A93" s="773" t="s">
        <v>353</v>
      </c>
      <c r="B93" s="776">
        <v>142322</v>
      </c>
    </row>
    <row r="94" spans="1:2" ht="15" customHeight="1">
      <c r="A94" s="777"/>
      <c r="B94" s="778"/>
    </row>
    <row r="95" spans="1:2" ht="60" customHeight="1">
      <c r="A95" s="782" t="s">
        <v>156</v>
      </c>
      <c r="B95" s="783" t="s">
        <v>84</v>
      </c>
    </row>
    <row r="96" spans="1:2" ht="15" customHeight="1">
      <c r="A96" s="773" t="s">
        <v>158</v>
      </c>
      <c r="B96" s="774" t="s">
        <v>191</v>
      </c>
    </row>
    <row r="97" spans="1:2" ht="15" customHeight="1">
      <c r="A97" s="773" t="s">
        <v>159</v>
      </c>
      <c r="B97" s="774">
        <v>40537</v>
      </c>
    </row>
    <row r="98" spans="1:2" ht="15" customHeight="1">
      <c r="A98" s="773" t="s">
        <v>161</v>
      </c>
      <c r="B98" s="776">
        <v>4351</v>
      </c>
    </row>
    <row r="99" spans="1:2" ht="15" customHeight="1">
      <c r="A99" s="773" t="s">
        <v>179</v>
      </c>
      <c r="B99" s="775">
        <v>0</v>
      </c>
    </row>
    <row r="100" spans="1:2" ht="15" customHeight="1">
      <c r="A100" s="773" t="s">
        <v>163</v>
      </c>
      <c r="B100" s="775" t="s">
        <v>164</v>
      </c>
    </row>
    <row r="101" spans="1:2" ht="15" customHeight="1">
      <c r="A101" s="773" t="s">
        <v>165</v>
      </c>
      <c r="B101" s="775">
        <v>4351</v>
      </c>
    </row>
    <row r="102" spans="1:2" ht="15" customHeight="1">
      <c r="A102" s="773" t="s">
        <v>353</v>
      </c>
      <c r="B102" s="776">
        <f>SUM(B99:B101)</f>
        <v>4351</v>
      </c>
    </row>
    <row r="103" spans="1:2" ht="15" customHeight="1">
      <c r="A103" s="777"/>
      <c r="B103" s="785"/>
    </row>
    <row r="104" spans="1:2" ht="30" customHeight="1">
      <c r="A104" s="807" t="s">
        <v>156</v>
      </c>
      <c r="B104" s="811" t="s">
        <v>192</v>
      </c>
    </row>
    <row r="105" spans="1:2" ht="15" customHeight="1">
      <c r="A105" s="773" t="s">
        <v>158</v>
      </c>
      <c r="B105" s="775" t="s">
        <v>193</v>
      </c>
    </row>
    <row r="106" spans="1:2" ht="15" customHeight="1">
      <c r="A106" s="773" t="s">
        <v>159</v>
      </c>
      <c r="B106" s="775" t="s">
        <v>194</v>
      </c>
    </row>
    <row r="107" spans="1:2" ht="15" customHeight="1">
      <c r="A107" s="773" t="s">
        <v>161</v>
      </c>
      <c r="B107" s="776">
        <v>16041</v>
      </c>
    </row>
    <row r="108" spans="1:2" ht="15" customHeight="1">
      <c r="A108" s="773" t="s">
        <v>179</v>
      </c>
      <c r="B108" s="775">
        <v>0</v>
      </c>
    </row>
    <row r="109" spans="1:2" ht="15" customHeight="1">
      <c r="A109" s="773" t="s">
        <v>163</v>
      </c>
      <c r="B109" s="776" t="s">
        <v>164</v>
      </c>
    </row>
    <row r="110" spans="1:2" ht="15" customHeight="1">
      <c r="A110" s="773" t="s">
        <v>165</v>
      </c>
      <c r="B110" s="775">
        <f>6739+9302</f>
        <v>16041</v>
      </c>
    </row>
    <row r="111" spans="1:2" ht="15" customHeight="1">
      <c r="A111" s="773" t="s">
        <v>353</v>
      </c>
      <c r="B111" s="776">
        <v>16041</v>
      </c>
    </row>
    <row r="112" spans="1:2" s="769" customFormat="1" ht="15" customHeight="1">
      <c r="A112" s="786"/>
      <c r="B112" s="815"/>
    </row>
    <row r="113" spans="1:2" s="769" customFormat="1" ht="61.5" customHeight="1">
      <c r="A113" s="782" t="s">
        <v>156</v>
      </c>
      <c r="B113" s="787" t="s">
        <v>85</v>
      </c>
    </row>
    <row r="114" spans="1:2" s="769" customFormat="1" ht="15" customHeight="1">
      <c r="A114" s="773" t="s">
        <v>158</v>
      </c>
      <c r="B114" s="775" t="s">
        <v>195</v>
      </c>
    </row>
    <row r="115" spans="1:2" s="769" customFormat="1" ht="15" customHeight="1">
      <c r="A115" s="773" t="s">
        <v>159</v>
      </c>
      <c r="B115" s="775" t="s">
        <v>196</v>
      </c>
    </row>
    <row r="116" spans="1:2" s="769" customFormat="1" ht="15" customHeight="1">
      <c r="A116" s="773" t="s">
        <v>161</v>
      </c>
      <c r="B116" s="776">
        <v>50533</v>
      </c>
    </row>
    <row r="117" spans="1:2" s="769" customFormat="1" ht="15" customHeight="1">
      <c r="A117" s="773" t="s">
        <v>179</v>
      </c>
      <c r="B117" s="775">
        <v>0</v>
      </c>
    </row>
    <row r="118" spans="1:2" s="769" customFormat="1" ht="15" customHeight="1">
      <c r="A118" s="773" t="s">
        <v>163</v>
      </c>
      <c r="B118" s="776" t="s">
        <v>164</v>
      </c>
    </row>
    <row r="119" spans="1:2" s="769" customFormat="1" ht="15" customHeight="1">
      <c r="A119" s="773" t="s">
        <v>165</v>
      </c>
      <c r="B119" s="775">
        <v>50533</v>
      </c>
    </row>
    <row r="120" spans="1:2" s="769" customFormat="1" ht="15" customHeight="1" thickBot="1">
      <c r="A120" s="788" t="s">
        <v>353</v>
      </c>
      <c r="B120" s="789">
        <v>50533</v>
      </c>
    </row>
    <row r="121" spans="1:2" s="769" customFormat="1" ht="15" customHeight="1" thickTop="1">
      <c r="A121" s="786"/>
      <c r="B121" s="815"/>
    </row>
    <row r="122" spans="1:2" s="769" customFormat="1" ht="15" customHeight="1">
      <c r="A122" s="816" t="s">
        <v>197</v>
      </c>
      <c r="B122" s="815"/>
    </row>
    <row r="123" spans="1:2" s="769" customFormat="1" ht="15" customHeight="1" thickBot="1">
      <c r="A123" s="814"/>
      <c r="B123" s="817"/>
    </row>
    <row r="124" spans="1:2" s="769" customFormat="1" ht="15" customHeight="1" thickTop="1">
      <c r="A124" s="790" t="s">
        <v>198</v>
      </c>
      <c r="B124" s="791" t="s">
        <v>199</v>
      </c>
    </row>
    <row r="125" spans="1:2" s="769" customFormat="1" ht="15" customHeight="1">
      <c r="A125" s="773" t="s">
        <v>200</v>
      </c>
      <c r="B125" s="792" t="s">
        <v>201</v>
      </c>
    </row>
    <row r="126" spans="1:2" s="769" customFormat="1" ht="15" customHeight="1">
      <c r="A126" s="773" t="s">
        <v>202</v>
      </c>
      <c r="B126" s="776">
        <f>16724+28000</f>
        <v>44724</v>
      </c>
    </row>
    <row r="127" spans="1:2" s="769" customFormat="1" ht="15" customHeight="1">
      <c r="A127" s="773"/>
      <c r="B127" s="793"/>
    </row>
    <row r="128" spans="1:2" s="769" customFormat="1" ht="15" customHeight="1">
      <c r="A128" s="773" t="s">
        <v>198</v>
      </c>
      <c r="B128" s="794" t="s">
        <v>199</v>
      </c>
    </row>
    <row r="129" spans="1:2" s="769" customFormat="1" ht="15" customHeight="1">
      <c r="A129" s="773" t="s">
        <v>200</v>
      </c>
      <c r="B129" s="792" t="s">
        <v>203</v>
      </c>
    </row>
    <row r="130" spans="1:2" s="769" customFormat="1" ht="15" customHeight="1" thickBot="1">
      <c r="A130" s="788" t="s">
        <v>202</v>
      </c>
      <c r="B130" s="789">
        <v>6267</v>
      </c>
    </row>
    <row r="131" s="769" customFormat="1" ht="16.5" thickTop="1"/>
    <row r="132" s="769" customFormat="1" ht="15.75"/>
    <row r="133" s="769" customFormat="1" ht="15.75"/>
    <row r="134" s="769" customFormat="1" ht="15.75"/>
    <row r="135" s="769" customFormat="1" ht="15.75"/>
    <row r="136" s="769" customFormat="1" ht="15.75"/>
    <row r="137" s="769" customFormat="1" ht="15.75"/>
    <row r="138" s="769" customFormat="1" ht="15.75"/>
    <row r="139" s="769" customFormat="1" ht="15.75"/>
    <row r="140" s="769" customFormat="1" ht="15.75"/>
    <row r="141" s="769" customFormat="1" ht="15.75"/>
    <row r="142" s="769" customFormat="1" ht="15.75"/>
    <row r="143" s="769" customFormat="1" ht="15.75"/>
    <row r="144" s="769" customFormat="1" ht="15.75"/>
    <row r="145" s="769" customFormat="1" ht="15.75"/>
    <row r="146" s="769" customFormat="1" ht="15.75"/>
    <row r="147" s="769" customFormat="1" ht="15.75"/>
    <row r="148" s="769" customFormat="1" ht="15.75"/>
    <row r="149" s="769" customFormat="1" ht="15.75"/>
    <row r="150" s="769" customFormat="1" ht="15.75"/>
    <row r="151" s="769" customFormat="1" ht="15.75"/>
    <row r="152" s="769" customFormat="1" ht="15.75"/>
    <row r="153" s="769" customFormat="1" ht="15.75"/>
    <row r="154" s="769" customFormat="1" ht="15.75"/>
    <row r="155" s="769" customFormat="1" ht="15.75"/>
    <row r="156" s="769" customFormat="1" ht="15.75"/>
    <row r="157" s="769" customFormat="1" ht="15.75"/>
    <row r="158" s="769" customFormat="1" ht="15.75"/>
    <row r="159" s="769" customFormat="1" ht="15.75"/>
    <row r="160" s="769" customFormat="1" ht="15.75"/>
    <row r="161" s="769" customFormat="1" ht="15.75"/>
    <row r="162" s="769" customFormat="1" ht="15.75"/>
    <row r="163" s="769" customFormat="1" ht="15.75"/>
    <row r="164" s="769" customFormat="1" ht="15.75"/>
    <row r="165" s="769" customFormat="1" ht="15.75"/>
    <row r="166" s="769" customFormat="1" ht="15.75"/>
    <row r="167" s="769" customFormat="1" ht="15.75"/>
    <row r="168" s="769" customFormat="1" ht="15.75"/>
    <row r="169" s="769" customFormat="1" ht="15.75"/>
    <row r="170" s="769" customFormat="1" ht="15.75"/>
    <row r="171" s="769" customFormat="1" ht="15.75"/>
    <row r="172" s="769" customFormat="1" ht="15.75"/>
    <row r="173" s="769" customFormat="1" ht="15.75"/>
    <row r="174" s="769" customFormat="1" ht="15.75"/>
    <row r="175" s="769" customFormat="1" ht="15.75"/>
    <row r="176" s="769" customFormat="1" ht="15.75"/>
    <row r="177" s="769" customFormat="1" ht="15.75"/>
    <row r="178" s="769" customFormat="1" ht="15.75"/>
    <row r="179" s="769" customFormat="1" ht="15.75"/>
    <row r="180" s="769" customFormat="1" ht="15.75"/>
    <row r="181" s="769" customFormat="1" ht="15.75"/>
    <row r="182" s="769" customFormat="1" ht="15.75"/>
    <row r="183" s="769" customFormat="1" ht="15.75"/>
    <row r="184" s="769" customFormat="1" ht="15.75"/>
    <row r="185" s="769" customFormat="1" ht="15.75"/>
    <row r="186" s="769" customFormat="1" ht="15.75"/>
    <row r="187" s="769" customFormat="1" ht="15.75"/>
    <row r="188" s="769" customFormat="1" ht="15.75"/>
    <row r="189" s="769" customFormat="1" ht="15.75"/>
    <row r="190" s="769" customFormat="1" ht="15.75"/>
    <row r="191" s="769" customFormat="1" ht="15.75"/>
    <row r="192" s="769" customFormat="1" ht="15.75"/>
    <row r="193" s="769" customFormat="1" ht="15.75"/>
    <row r="194" s="769" customFormat="1" ht="15.75"/>
    <row r="195" s="769" customFormat="1" ht="15.75"/>
    <row r="196" s="769" customFormat="1" ht="15.75"/>
    <row r="197" s="769" customFormat="1" ht="15.75"/>
  </sheetData>
  <mergeCells count="1">
    <mergeCell ref="A1:B1"/>
  </mergeCells>
  <printOptions horizontalCentered="1"/>
  <pageMargins left="0" right="0" top="0.55" bottom="0" header="0.1968503937007874" footer="0"/>
  <pageSetup horizontalDpi="600" verticalDpi="600" orientation="portrait" paperSize="9" scale="76" r:id="rId1"/>
  <headerFooter alignWithMargins="0">
    <oddHeader>&amp;L&amp;8 10/a. melléklet a 2/2011.(II.25.) önkormányzati rendelethez</oddHeader>
  </headerFooter>
  <rowBreaks count="1" manualBreakCount="1">
    <brk id="67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B45"/>
  <sheetViews>
    <sheetView workbookViewId="0" topLeftCell="A1">
      <selection activeCell="B35" sqref="B35"/>
    </sheetView>
  </sheetViews>
  <sheetFormatPr defaultColWidth="9.00390625" defaultRowHeight="12.75"/>
  <cols>
    <col min="1" max="1" width="54.375" style="82" customWidth="1"/>
    <col min="2" max="2" width="16.75390625" style="82" customWidth="1"/>
    <col min="3" max="16384" width="9.125" style="82" customWidth="1"/>
  </cols>
  <sheetData>
    <row r="1" ht="12.75">
      <c r="A1" s="55"/>
    </row>
    <row r="2" ht="15.75">
      <c r="A2" s="31"/>
    </row>
    <row r="3" spans="1:2" ht="15" customHeight="1">
      <c r="A3" s="917" t="s">
        <v>501</v>
      </c>
      <c r="B3" s="918"/>
    </row>
    <row r="4" spans="1:2" ht="15">
      <c r="A4" s="913"/>
      <c r="B4" s="914"/>
    </row>
    <row r="5" spans="1:2" ht="15">
      <c r="A5" s="54"/>
      <c r="B5" s="83"/>
    </row>
    <row r="6" spans="1:2" ht="14.25" customHeight="1" thickBot="1">
      <c r="A6" s="56"/>
      <c r="B6" s="83"/>
    </row>
    <row r="7" spans="1:2" ht="22.5" customHeight="1" thickTop="1">
      <c r="A7" s="915" t="s">
        <v>607</v>
      </c>
      <c r="B7" s="147" t="s">
        <v>608</v>
      </c>
    </row>
    <row r="8" spans="1:2" ht="15" customHeight="1">
      <c r="A8" s="916"/>
      <c r="B8" s="148" t="s">
        <v>521</v>
      </c>
    </row>
    <row r="9" spans="1:2" ht="15" customHeight="1">
      <c r="A9" s="57" t="s">
        <v>555</v>
      </c>
      <c r="B9" s="149">
        <v>20</v>
      </c>
    </row>
    <row r="10" spans="1:2" ht="15" customHeight="1">
      <c r="A10" s="57" t="s">
        <v>556</v>
      </c>
      <c r="B10" s="149">
        <v>14</v>
      </c>
    </row>
    <row r="11" spans="1:2" ht="15" customHeight="1">
      <c r="A11" s="57" t="s">
        <v>513</v>
      </c>
      <c r="B11" s="149">
        <v>7</v>
      </c>
    </row>
    <row r="12" spans="1:2" ht="15" customHeight="1">
      <c r="A12" s="57" t="s">
        <v>557</v>
      </c>
      <c r="B12" s="149">
        <v>16.25</v>
      </c>
    </row>
    <row r="13" spans="1:2" ht="15" customHeight="1">
      <c r="A13" s="57" t="s">
        <v>609</v>
      </c>
      <c r="B13" s="149">
        <v>21</v>
      </c>
    </row>
    <row r="14" spans="1:2" ht="15" customHeight="1">
      <c r="A14" s="57" t="s">
        <v>598</v>
      </c>
      <c r="B14" s="149">
        <v>15.5</v>
      </c>
    </row>
    <row r="15" spans="1:2" ht="15" customHeight="1">
      <c r="A15" s="57" t="s">
        <v>262</v>
      </c>
      <c r="B15" s="149">
        <v>14</v>
      </c>
    </row>
    <row r="16" spans="1:2" ht="15" customHeight="1">
      <c r="A16" s="57" t="s">
        <v>599</v>
      </c>
      <c r="B16" s="149">
        <v>3.5</v>
      </c>
    </row>
    <row r="17" spans="1:2" ht="15" customHeight="1">
      <c r="A17" s="57" t="s">
        <v>263</v>
      </c>
      <c r="B17" s="149">
        <v>27</v>
      </c>
    </row>
    <row r="18" spans="1:2" ht="15" customHeight="1">
      <c r="A18" s="57" t="s">
        <v>485</v>
      </c>
      <c r="B18" s="149">
        <v>60.5</v>
      </c>
    </row>
    <row r="19" spans="1:2" ht="15" customHeight="1">
      <c r="A19" s="57" t="s">
        <v>505</v>
      </c>
      <c r="B19" s="149">
        <v>22</v>
      </c>
    </row>
    <row r="20" spans="1:2" ht="15" customHeight="1">
      <c r="A20" s="57" t="s">
        <v>610</v>
      </c>
      <c r="B20" s="149">
        <v>77.5</v>
      </c>
    </row>
    <row r="21" spans="1:2" ht="15" customHeight="1">
      <c r="A21" s="57" t="s">
        <v>611</v>
      </c>
      <c r="B21" s="149">
        <v>20</v>
      </c>
    </row>
    <row r="22" spans="1:2" ht="15" customHeight="1">
      <c r="A22" s="57" t="s">
        <v>628</v>
      </c>
      <c r="B22" s="149">
        <v>13</v>
      </c>
    </row>
    <row r="23" spans="1:2" ht="15" customHeight="1">
      <c r="A23" s="57" t="s">
        <v>486</v>
      </c>
      <c r="B23" s="149">
        <v>23</v>
      </c>
    </row>
    <row r="24" spans="1:2" ht="15.75" customHeight="1">
      <c r="A24" s="57" t="s">
        <v>612</v>
      </c>
      <c r="B24" s="149">
        <v>9.5</v>
      </c>
    </row>
    <row r="25" spans="1:2" ht="15" customHeight="1">
      <c r="A25" s="58" t="s">
        <v>264</v>
      </c>
      <c r="B25" s="150">
        <v>53.5</v>
      </c>
    </row>
    <row r="26" spans="1:2" ht="15" customHeight="1">
      <c r="A26" s="57" t="s">
        <v>487</v>
      </c>
      <c r="B26" s="149">
        <v>10</v>
      </c>
    </row>
    <row r="27" spans="1:2" ht="15" customHeight="1">
      <c r="A27" s="59" t="s">
        <v>613</v>
      </c>
      <c r="B27" s="151">
        <f>SUM(B9:B26)</f>
        <v>427.25</v>
      </c>
    </row>
    <row r="28" spans="1:2" ht="15" customHeight="1" thickBot="1">
      <c r="A28" s="84" t="s">
        <v>520</v>
      </c>
      <c r="B28" s="152">
        <v>196</v>
      </c>
    </row>
    <row r="29" spans="1:2" ht="15" customHeight="1">
      <c r="A29" s="60" t="s">
        <v>614</v>
      </c>
      <c r="B29" s="153">
        <f>SUM(B27:B28)</f>
        <v>623.25</v>
      </c>
    </row>
    <row r="30" spans="1:2" ht="15" customHeight="1">
      <c r="A30" s="57"/>
      <c r="B30" s="149"/>
    </row>
    <row r="31" spans="1:2" ht="15" customHeight="1">
      <c r="A31" s="57" t="s">
        <v>483</v>
      </c>
      <c r="B31" s="149"/>
    </row>
    <row r="32" spans="1:2" ht="15" customHeight="1">
      <c r="A32" s="57" t="s">
        <v>482</v>
      </c>
      <c r="B32" s="149">
        <v>82</v>
      </c>
    </row>
    <row r="33" spans="1:2" ht="15" customHeight="1">
      <c r="A33" s="57" t="s">
        <v>615</v>
      </c>
      <c r="B33" s="150">
        <v>3</v>
      </c>
    </row>
    <row r="34" spans="1:2" ht="15" customHeight="1" thickBot="1">
      <c r="A34" s="57" t="s">
        <v>627</v>
      </c>
      <c r="B34" s="154">
        <v>3</v>
      </c>
    </row>
    <row r="35" spans="1:2" s="107" customFormat="1" ht="15" customHeight="1">
      <c r="A35" s="106" t="s">
        <v>549</v>
      </c>
      <c r="B35" s="155">
        <f>SUM(B31:B34)</f>
        <v>88</v>
      </c>
    </row>
    <row r="36" spans="1:2" ht="15" customHeight="1" thickBot="1">
      <c r="A36" s="57"/>
      <c r="B36" s="154"/>
    </row>
    <row r="37" spans="1:2" ht="15" customHeight="1" thickBot="1">
      <c r="A37" s="61" t="s">
        <v>528</v>
      </c>
      <c r="B37" s="156">
        <f>SUM(B29+B35)</f>
        <v>711.25</v>
      </c>
    </row>
    <row r="38" spans="1:2" ht="19.5" thickTop="1">
      <c r="A38" s="62"/>
      <c r="B38" s="85"/>
    </row>
    <row r="39" ht="15.75">
      <c r="A39" s="63"/>
    </row>
    <row r="40" spans="1:2" ht="14.25">
      <c r="A40" s="919" t="s">
        <v>480</v>
      </c>
      <c r="B40" s="919"/>
    </row>
    <row r="41" ht="13.5" thickBot="1"/>
    <row r="42" spans="1:2" ht="13.5" thickTop="1">
      <c r="A42" s="293" t="s">
        <v>553</v>
      </c>
      <c r="B42" s="113" t="s">
        <v>481</v>
      </c>
    </row>
    <row r="43" spans="1:2" ht="12.75">
      <c r="A43" s="277" t="s">
        <v>265</v>
      </c>
      <c r="B43" s="294">
        <v>18</v>
      </c>
    </row>
    <row r="44" spans="1:2" ht="13.5" thickBot="1">
      <c r="A44" s="277" t="s">
        <v>266</v>
      </c>
      <c r="B44" s="295">
        <v>57</v>
      </c>
    </row>
    <row r="45" spans="1:2" s="111" customFormat="1" ht="13.5" thickBot="1">
      <c r="A45" s="292" t="s">
        <v>549</v>
      </c>
      <c r="B45" s="296">
        <f>SUM(B43:B44)</f>
        <v>75</v>
      </c>
    </row>
    <row r="46" ht="13.5" thickTop="1"/>
  </sheetData>
  <mergeCells count="4">
    <mergeCell ref="A4:B4"/>
    <mergeCell ref="A7:A8"/>
    <mergeCell ref="A3:B3"/>
    <mergeCell ref="A40:B40"/>
  </mergeCells>
  <printOptions horizontalCentered="1"/>
  <pageMargins left="0.5511811023622047" right="0.4724409448818898" top="0.984251968503937" bottom="0.984251968503937" header="0.5118110236220472" footer="0.5118110236220472"/>
  <pageSetup horizontalDpi="600" verticalDpi="600" orientation="portrait" paperSize="9" r:id="rId1"/>
  <headerFooter alignWithMargins="0">
    <oddHeader>&amp;L&amp;8 11. melléklet a 2/2011.(II.25.) önkormányzati rendelethez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3:AO74"/>
  <sheetViews>
    <sheetView tabSelected="1" workbookViewId="0" topLeftCell="A1">
      <selection activeCell="C5" sqref="C5"/>
    </sheetView>
  </sheetViews>
  <sheetFormatPr defaultColWidth="9.00390625" defaultRowHeight="12.75"/>
  <cols>
    <col min="1" max="1" width="5.375" style="4" customWidth="1"/>
    <col min="2" max="2" width="9.25390625" style="4" customWidth="1"/>
    <col min="3" max="3" width="18.875" style="4" customWidth="1"/>
    <col min="4" max="4" width="13.375" style="4" customWidth="1"/>
    <col min="5" max="5" width="11.25390625" style="4" customWidth="1"/>
    <col min="6" max="6" width="11.375" style="4" customWidth="1"/>
    <col min="7" max="7" width="11.75390625" style="4" customWidth="1"/>
    <col min="8" max="8" width="14.625" style="4" customWidth="1"/>
    <col min="9" max="9" width="10.375" style="0" customWidth="1"/>
    <col min="41" max="41" width="9.125" style="4" customWidth="1"/>
  </cols>
  <sheetData>
    <row r="3" spans="1:8" ht="12.75">
      <c r="A3" s="850" t="s">
        <v>370</v>
      </c>
      <c r="B3" s="850"/>
      <c r="C3" s="850"/>
      <c r="D3" s="850"/>
      <c r="E3" s="850"/>
      <c r="F3" s="850"/>
      <c r="G3" s="850"/>
      <c r="H3" s="932"/>
    </row>
    <row r="4" spans="1:8" ht="12.75">
      <c r="A4" s="850" t="s">
        <v>500</v>
      </c>
      <c r="B4" s="850"/>
      <c r="C4" s="850"/>
      <c r="D4" s="850"/>
      <c r="E4" s="850"/>
      <c r="F4" s="850"/>
      <c r="G4" s="850"/>
      <c r="H4" s="932"/>
    </row>
    <row r="5" spans="1:8" ht="12.75" customHeight="1" thickBot="1">
      <c r="A5" s="191"/>
      <c r="B5" s="191"/>
      <c r="C5" s="191"/>
      <c r="D5" s="191"/>
      <c r="E5" s="191"/>
      <c r="F5" s="191"/>
      <c r="G5" s="191"/>
      <c r="H5" s="86"/>
    </row>
    <row r="6" spans="1:8" ht="16.5" customHeight="1" thickBot="1" thickTop="1">
      <c r="A6" s="933"/>
      <c r="B6" s="934"/>
      <c r="C6" s="939" t="s">
        <v>423</v>
      </c>
      <c r="D6" s="940"/>
      <c r="E6" s="940"/>
      <c r="F6" s="940"/>
      <c r="G6" s="940"/>
      <c r="H6" s="941" t="s">
        <v>484</v>
      </c>
    </row>
    <row r="7" spans="1:8" ht="16.5" customHeight="1" thickBot="1" thickTop="1">
      <c r="A7" s="935"/>
      <c r="B7" s="936"/>
      <c r="C7" s="944" t="s">
        <v>763</v>
      </c>
      <c r="D7" s="947" t="s">
        <v>424</v>
      </c>
      <c r="E7" s="947"/>
      <c r="F7" s="947"/>
      <c r="G7" s="947"/>
      <c r="H7" s="942"/>
    </row>
    <row r="8" spans="1:41" s="226" customFormat="1" ht="14.25" customHeight="1" thickTop="1">
      <c r="A8" s="935"/>
      <c r="B8" s="936"/>
      <c r="C8" s="945"/>
      <c r="D8" s="929" t="s">
        <v>759</v>
      </c>
      <c r="E8" s="948" t="s">
        <v>373</v>
      </c>
      <c r="F8" s="949"/>
      <c r="G8" s="929" t="s">
        <v>760</v>
      </c>
      <c r="H8" s="942"/>
      <c r="AO8" s="190"/>
    </row>
    <row r="9" spans="1:41" s="226" customFormat="1" ht="10.5" customHeight="1">
      <c r="A9" s="935"/>
      <c r="B9" s="936"/>
      <c r="C9" s="945"/>
      <c r="D9" s="930"/>
      <c r="E9" s="950"/>
      <c r="F9" s="951"/>
      <c r="G9" s="930"/>
      <c r="H9" s="942"/>
      <c r="AO9" s="190"/>
    </row>
    <row r="10" spans="1:41" s="226" customFormat="1" ht="12.75" customHeight="1">
      <c r="A10" s="935"/>
      <c r="B10" s="936"/>
      <c r="C10" s="945"/>
      <c r="D10" s="930"/>
      <c r="E10" s="927" t="s">
        <v>371</v>
      </c>
      <c r="F10" s="927" t="s">
        <v>372</v>
      </c>
      <c r="G10" s="930"/>
      <c r="H10" s="942"/>
      <c r="AO10" s="190"/>
    </row>
    <row r="11" spans="1:41" s="226" customFormat="1" ht="21.75" customHeight="1" thickBot="1">
      <c r="A11" s="937"/>
      <c r="B11" s="938"/>
      <c r="C11" s="946"/>
      <c r="D11" s="931"/>
      <c r="E11" s="928"/>
      <c r="F11" s="928"/>
      <c r="G11" s="931"/>
      <c r="H11" s="943"/>
      <c r="AO11" s="190"/>
    </row>
    <row r="12" spans="1:41" s="229" customFormat="1" ht="12.75">
      <c r="A12" s="925" t="s">
        <v>427</v>
      </c>
      <c r="B12" s="926"/>
      <c r="C12" s="233">
        <v>4965764</v>
      </c>
      <c r="D12" s="228">
        <v>92427</v>
      </c>
      <c r="E12" s="228">
        <v>2910</v>
      </c>
      <c r="F12" s="305">
        <v>9913</v>
      </c>
      <c r="G12" s="228">
        <v>2198</v>
      </c>
      <c r="H12" s="306">
        <f>SUM(C12+D12+E12+F12+G12)</f>
        <v>5073212</v>
      </c>
      <c r="AO12" s="1"/>
    </row>
    <row r="13" spans="1:41" s="229" customFormat="1" ht="12.75">
      <c r="A13" s="124"/>
      <c r="B13" s="109" t="s">
        <v>425</v>
      </c>
      <c r="C13" s="234"/>
      <c r="D13" s="235">
        <v>15000</v>
      </c>
      <c r="E13" s="235">
        <v>1460</v>
      </c>
      <c r="F13" s="234">
        <v>2850</v>
      </c>
      <c r="G13" s="235">
        <v>1067</v>
      </c>
      <c r="H13" s="297">
        <f>SUM(C13+D13+E13+F13+G13)</f>
        <v>20377</v>
      </c>
      <c r="AO13" s="1"/>
    </row>
    <row r="14" spans="1:41" s="229" customFormat="1" ht="13.5" thickBot="1">
      <c r="A14" s="236"/>
      <c r="B14" s="237" t="s">
        <v>426</v>
      </c>
      <c r="C14" s="238">
        <v>62072</v>
      </c>
      <c r="D14" s="238">
        <v>1386</v>
      </c>
      <c r="E14" s="243">
        <v>125</v>
      </c>
      <c r="F14" s="230">
        <v>425</v>
      </c>
      <c r="G14" s="239">
        <v>166</v>
      </c>
      <c r="H14" s="231">
        <f aca="true" t="shared" si="0" ref="H14:H45">SUM(C14:G14)</f>
        <v>64174</v>
      </c>
      <c r="AO14" s="1"/>
    </row>
    <row r="15" spans="1:41" s="229" customFormat="1" ht="12.75">
      <c r="A15" s="920" t="s">
        <v>428</v>
      </c>
      <c r="B15" s="924"/>
      <c r="C15" s="240">
        <v>4965764</v>
      </c>
      <c r="D15" s="241">
        <v>77427</v>
      </c>
      <c r="E15" s="233">
        <v>1450</v>
      </c>
      <c r="F15" s="227">
        <v>7063</v>
      </c>
      <c r="G15" s="233">
        <v>1131</v>
      </c>
      <c r="H15" s="297">
        <f t="shared" si="0"/>
        <v>5052835</v>
      </c>
      <c r="AO15" s="1"/>
    </row>
    <row r="16" spans="1:41" s="229" customFormat="1" ht="12.75">
      <c r="A16" s="124"/>
      <c r="B16" s="109" t="s">
        <v>425</v>
      </c>
      <c r="C16" s="234">
        <v>99315</v>
      </c>
      <c r="D16" s="235"/>
      <c r="E16" s="235">
        <v>1450</v>
      </c>
      <c r="F16" s="242">
        <v>2850</v>
      </c>
      <c r="G16" s="235">
        <v>1131</v>
      </c>
      <c r="H16" s="232">
        <f t="shared" si="0"/>
        <v>104746</v>
      </c>
      <c r="AO16" s="1"/>
    </row>
    <row r="17" spans="1:41" s="229" customFormat="1" ht="13.5" thickBot="1">
      <c r="A17" s="236"/>
      <c r="B17" s="237" t="s">
        <v>426</v>
      </c>
      <c r="C17" s="238">
        <v>62072</v>
      </c>
      <c r="D17" s="243">
        <v>1161</v>
      </c>
      <c r="E17" s="243">
        <v>62</v>
      </c>
      <c r="F17" s="244">
        <v>303</v>
      </c>
      <c r="G17" s="245">
        <v>58</v>
      </c>
      <c r="H17" s="231">
        <f t="shared" si="0"/>
        <v>63656</v>
      </c>
      <c r="AO17" s="1"/>
    </row>
    <row r="18" spans="1:41" s="229" customFormat="1" ht="12.75">
      <c r="A18" s="920" t="s">
        <v>429</v>
      </c>
      <c r="B18" s="924"/>
      <c r="C18" s="240">
        <v>4866449</v>
      </c>
      <c r="D18" s="246">
        <v>66313</v>
      </c>
      <c r="E18" s="246"/>
      <c r="F18" s="247">
        <v>4213</v>
      </c>
      <c r="G18" s="248"/>
      <c r="H18" s="297">
        <f t="shared" si="0"/>
        <v>4936975</v>
      </c>
      <c r="AO18" s="1"/>
    </row>
    <row r="19" spans="1:41" s="229" customFormat="1" ht="12.75">
      <c r="A19" s="124"/>
      <c r="B19" s="109" t="s">
        <v>425</v>
      </c>
      <c r="C19" s="234">
        <v>99315</v>
      </c>
      <c r="D19" s="235">
        <v>11114</v>
      </c>
      <c r="E19" s="235"/>
      <c r="F19" s="242">
        <v>2850</v>
      </c>
      <c r="G19" s="161"/>
      <c r="H19" s="232">
        <f t="shared" si="0"/>
        <v>113279</v>
      </c>
      <c r="AO19" s="1"/>
    </row>
    <row r="20" spans="1:41" s="229" customFormat="1" ht="13.5" thickBot="1">
      <c r="A20" s="236"/>
      <c r="B20" s="237" t="s">
        <v>426</v>
      </c>
      <c r="C20" s="238">
        <v>60831</v>
      </c>
      <c r="D20" s="243">
        <v>995</v>
      </c>
      <c r="E20" s="243"/>
      <c r="F20" s="238">
        <v>181</v>
      </c>
      <c r="G20" s="238"/>
      <c r="H20" s="231">
        <f t="shared" si="0"/>
        <v>62007</v>
      </c>
      <c r="AO20" s="1"/>
    </row>
    <row r="21" spans="1:41" s="229" customFormat="1" ht="12.75">
      <c r="A21" s="920" t="s">
        <v>430</v>
      </c>
      <c r="B21" s="924"/>
      <c r="C21" s="227">
        <v>4767134</v>
      </c>
      <c r="D21" s="233">
        <v>55199</v>
      </c>
      <c r="E21" s="233"/>
      <c r="F21" s="227">
        <v>1363</v>
      </c>
      <c r="G21" s="233"/>
      <c r="H21" s="232">
        <f t="shared" si="0"/>
        <v>4823696</v>
      </c>
      <c r="AO21" s="1"/>
    </row>
    <row r="22" spans="1:41" s="229" customFormat="1" ht="12.75">
      <c r="A22" s="124"/>
      <c r="B22" s="109" t="s">
        <v>425</v>
      </c>
      <c r="C22" s="242">
        <v>119178</v>
      </c>
      <c r="D22" s="235">
        <v>11114</v>
      </c>
      <c r="E22" s="235"/>
      <c r="F22" s="234">
        <v>1363</v>
      </c>
      <c r="G22" s="235"/>
      <c r="H22" s="163">
        <f t="shared" si="0"/>
        <v>131655</v>
      </c>
      <c r="AO22" s="1"/>
    </row>
    <row r="23" spans="1:8" ht="13.5" thickBot="1">
      <c r="A23" s="249"/>
      <c r="B23" s="237" t="s">
        <v>426</v>
      </c>
      <c r="C23" s="238">
        <v>59589</v>
      </c>
      <c r="D23" s="243">
        <v>828</v>
      </c>
      <c r="E23" s="243"/>
      <c r="F23" s="244">
        <v>58</v>
      </c>
      <c r="G23" s="245"/>
      <c r="H23" s="308">
        <f t="shared" si="0"/>
        <v>60475</v>
      </c>
    </row>
    <row r="24" spans="1:8" ht="12.75">
      <c r="A24" s="920" t="s">
        <v>431</v>
      </c>
      <c r="B24" s="921"/>
      <c r="C24" s="250">
        <v>4647956</v>
      </c>
      <c r="D24" s="246">
        <v>44085</v>
      </c>
      <c r="E24" s="246"/>
      <c r="F24" s="247"/>
      <c r="G24" s="248"/>
      <c r="H24" s="232">
        <f t="shared" si="0"/>
        <v>4692041</v>
      </c>
    </row>
    <row r="25" spans="1:8" ht="12.75">
      <c r="A25" s="251"/>
      <c r="B25" s="109" t="s">
        <v>425</v>
      </c>
      <c r="C25" s="242">
        <v>129110</v>
      </c>
      <c r="D25" s="235">
        <v>11114</v>
      </c>
      <c r="E25" s="235"/>
      <c r="F25" s="234"/>
      <c r="G25" s="235"/>
      <c r="H25" s="163">
        <f t="shared" si="0"/>
        <v>140224</v>
      </c>
    </row>
    <row r="26" spans="1:8" ht="13.5" thickBot="1">
      <c r="A26" s="249"/>
      <c r="B26" s="252" t="s">
        <v>426</v>
      </c>
      <c r="C26" s="241">
        <v>58099</v>
      </c>
      <c r="D26" s="246">
        <v>661</v>
      </c>
      <c r="E26" s="246"/>
      <c r="F26" s="241"/>
      <c r="G26" s="246"/>
      <c r="H26" s="308">
        <f t="shared" si="0"/>
        <v>58760</v>
      </c>
    </row>
    <row r="27" spans="1:8" ht="12.75">
      <c r="A27" s="920" t="s">
        <v>432</v>
      </c>
      <c r="B27" s="921"/>
      <c r="C27" s="253">
        <v>4518846</v>
      </c>
      <c r="D27" s="254">
        <v>32971</v>
      </c>
      <c r="E27" s="254"/>
      <c r="F27" s="255"/>
      <c r="G27" s="256"/>
      <c r="H27" s="232">
        <f t="shared" si="0"/>
        <v>4551817</v>
      </c>
    </row>
    <row r="28" spans="1:8" ht="12.75">
      <c r="A28" s="249"/>
      <c r="B28" s="252" t="s">
        <v>425</v>
      </c>
      <c r="C28" s="247">
        <v>148973</v>
      </c>
      <c r="D28" s="246">
        <v>32971</v>
      </c>
      <c r="E28" s="246"/>
      <c r="F28" s="241"/>
      <c r="G28" s="246"/>
      <c r="H28" s="163">
        <f t="shared" si="0"/>
        <v>181944</v>
      </c>
    </row>
    <row r="29" spans="1:8" ht="13.5" thickBot="1">
      <c r="A29" s="257"/>
      <c r="B29" s="237" t="s">
        <v>426</v>
      </c>
      <c r="C29" s="244">
        <v>56486</v>
      </c>
      <c r="D29" s="243">
        <v>495</v>
      </c>
      <c r="E29" s="243"/>
      <c r="F29" s="244"/>
      <c r="G29" s="245"/>
      <c r="H29" s="308">
        <f t="shared" si="0"/>
        <v>56981</v>
      </c>
    </row>
    <row r="30" spans="1:8" ht="12.75">
      <c r="A30" s="922" t="s">
        <v>433</v>
      </c>
      <c r="B30" s="923"/>
      <c r="C30" s="250">
        <v>4369873</v>
      </c>
      <c r="D30" s="258"/>
      <c r="E30" s="258"/>
      <c r="F30" s="259"/>
      <c r="G30" s="260"/>
      <c r="H30" s="232">
        <f t="shared" si="0"/>
        <v>4369873</v>
      </c>
    </row>
    <row r="31" spans="1:8" ht="12.75">
      <c r="A31" s="251"/>
      <c r="B31" s="109" t="s">
        <v>425</v>
      </c>
      <c r="C31" s="242">
        <v>168836</v>
      </c>
      <c r="D31" s="235"/>
      <c r="E31" s="235"/>
      <c r="F31" s="234"/>
      <c r="G31" s="235"/>
      <c r="H31" s="163">
        <f t="shared" si="0"/>
        <v>168836</v>
      </c>
    </row>
    <row r="32" spans="1:8" ht="13.5" thickBot="1">
      <c r="A32" s="261"/>
      <c r="B32" s="237" t="s">
        <v>426</v>
      </c>
      <c r="C32" s="259">
        <v>54623</v>
      </c>
      <c r="D32" s="258"/>
      <c r="E32" s="258"/>
      <c r="F32" s="259"/>
      <c r="G32" s="260"/>
      <c r="H32" s="308">
        <f t="shared" si="0"/>
        <v>54623</v>
      </c>
    </row>
    <row r="33" spans="1:8" ht="12.75">
      <c r="A33" s="920" t="s">
        <v>434</v>
      </c>
      <c r="B33" s="921"/>
      <c r="C33" s="262">
        <v>4201037</v>
      </c>
      <c r="D33" s="233"/>
      <c r="E33" s="233"/>
      <c r="F33" s="263"/>
      <c r="G33" s="264"/>
      <c r="H33" s="232">
        <f t="shared" si="0"/>
        <v>4201037</v>
      </c>
    </row>
    <row r="34" spans="1:8" ht="12.75">
      <c r="A34" s="251"/>
      <c r="B34" s="109" t="s">
        <v>425</v>
      </c>
      <c r="C34" s="242">
        <v>178768</v>
      </c>
      <c r="D34" s="235"/>
      <c r="E34" s="235"/>
      <c r="F34" s="234"/>
      <c r="G34" s="235"/>
      <c r="H34" s="163">
        <f t="shared" si="0"/>
        <v>178768</v>
      </c>
    </row>
    <row r="35" spans="1:8" ht="13.5" thickBot="1">
      <c r="A35" s="265"/>
      <c r="B35" s="237" t="s">
        <v>426</v>
      </c>
      <c r="C35" s="259">
        <v>52513</v>
      </c>
      <c r="D35" s="258"/>
      <c r="E35" s="258"/>
      <c r="F35" s="259"/>
      <c r="G35" s="260"/>
      <c r="H35" s="308">
        <f t="shared" si="0"/>
        <v>52513</v>
      </c>
    </row>
    <row r="36" spans="1:8" ht="12.75">
      <c r="A36" s="920" t="s">
        <v>435</v>
      </c>
      <c r="B36" s="921"/>
      <c r="C36" s="253">
        <v>4022269</v>
      </c>
      <c r="D36" s="254"/>
      <c r="E36" s="254"/>
      <c r="F36" s="255"/>
      <c r="G36" s="256"/>
      <c r="H36" s="232">
        <f t="shared" si="0"/>
        <v>4022269</v>
      </c>
    </row>
    <row r="37" spans="1:8" ht="12.75">
      <c r="A37" s="251"/>
      <c r="B37" s="109" t="s">
        <v>425</v>
      </c>
      <c r="C37" s="242">
        <v>188699</v>
      </c>
      <c r="D37" s="235"/>
      <c r="E37" s="235"/>
      <c r="F37" s="234"/>
      <c r="G37" s="235"/>
      <c r="H37" s="163">
        <f t="shared" si="0"/>
        <v>188699</v>
      </c>
    </row>
    <row r="38" spans="1:8" ht="13.5" thickBot="1">
      <c r="A38" s="265"/>
      <c r="B38" s="237" t="s">
        <v>426</v>
      </c>
      <c r="C38" s="259">
        <v>50278</v>
      </c>
      <c r="D38" s="258"/>
      <c r="E38" s="258"/>
      <c r="F38" s="259"/>
      <c r="G38" s="260"/>
      <c r="H38" s="308">
        <f t="shared" si="0"/>
        <v>50278</v>
      </c>
    </row>
    <row r="39" spans="1:8" ht="12.75">
      <c r="A39" s="920" t="s">
        <v>436</v>
      </c>
      <c r="B39" s="921"/>
      <c r="C39" s="253">
        <v>3833570</v>
      </c>
      <c r="D39" s="254"/>
      <c r="E39" s="254"/>
      <c r="F39" s="255"/>
      <c r="G39" s="256"/>
      <c r="H39" s="232">
        <f t="shared" si="0"/>
        <v>3833570</v>
      </c>
    </row>
    <row r="40" spans="1:8" ht="12.75">
      <c r="A40" s="251"/>
      <c r="B40" s="109" t="s">
        <v>425</v>
      </c>
      <c r="C40" s="242">
        <v>198631</v>
      </c>
      <c r="D40" s="235"/>
      <c r="E40" s="235"/>
      <c r="F40" s="234"/>
      <c r="G40" s="235"/>
      <c r="H40" s="163">
        <f t="shared" si="0"/>
        <v>198631</v>
      </c>
    </row>
    <row r="41" spans="1:8" ht="13.5" thickBot="1">
      <c r="A41" s="265"/>
      <c r="B41" s="237" t="s">
        <v>426</v>
      </c>
      <c r="C41" s="259">
        <v>47920</v>
      </c>
      <c r="D41" s="258"/>
      <c r="E41" s="258"/>
      <c r="F41" s="259"/>
      <c r="G41" s="260"/>
      <c r="H41" s="308">
        <f t="shared" si="0"/>
        <v>47920</v>
      </c>
    </row>
    <row r="42" spans="1:8" ht="12.75">
      <c r="A42" s="920" t="s">
        <v>437</v>
      </c>
      <c r="B42" s="921"/>
      <c r="C42" s="253">
        <v>3634939</v>
      </c>
      <c r="D42" s="254"/>
      <c r="E42" s="254"/>
      <c r="F42" s="255"/>
      <c r="G42" s="256"/>
      <c r="H42" s="232">
        <f t="shared" si="0"/>
        <v>3634939</v>
      </c>
    </row>
    <row r="43" spans="1:8" ht="12.75">
      <c r="A43" s="249"/>
      <c r="B43" s="252" t="s">
        <v>425</v>
      </c>
      <c r="C43" s="247">
        <v>218494</v>
      </c>
      <c r="D43" s="246"/>
      <c r="E43" s="246"/>
      <c r="F43" s="241"/>
      <c r="G43" s="246"/>
      <c r="H43" s="163">
        <f t="shared" si="0"/>
        <v>218494</v>
      </c>
    </row>
    <row r="44" spans="1:8" ht="13.5" thickBot="1">
      <c r="A44" s="257"/>
      <c r="B44" s="237" t="s">
        <v>426</v>
      </c>
      <c r="C44" s="244">
        <v>45437</v>
      </c>
      <c r="D44" s="243"/>
      <c r="E44" s="243"/>
      <c r="F44" s="244"/>
      <c r="G44" s="245"/>
      <c r="H44" s="308">
        <f t="shared" si="0"/>
        <v>45437</v>
      </c>
    </row>
    <row r="45" spans="1:8" ht="12.75">
      <c r="A45" s="922" t="s">
        <v>438</v>
      </c>
      <c r="B45" s="923"/>
      <c r="C45" s="250">
        <v>3416445</v>
      </c>
      <c r="D45" s="258"/>
      <c r="E45" s="258"/>
      <c r="F45" s="259"/>
      <c r="G45" s="260"/>
      <c r="H45" s="232">
        <f t="shared" si="0"/>
        <v>3416445</v>
      </c>
    </row>
    <row r="46" spans="1:8" ht="12.75">
      <c r="A46" s="249"/>
      <c r="B46" s="252" t="s">
        <v>425</v>
      </c>
      <c r="C46" s="247">
        <v>228425</v>
      </c>
      <c r="D46" s="246"/>
      <c r="E46" s="246"/>
      <c r="F46" s="241"/>
      <c r="G46" s="246"/>
      <c r="H46" s="163">
        <f aca="true" t="shared" si="1" ref="H46:H74">SUM(C46:G46)</f>
        <v>228425</v>
      </c>
    </row>
    <row r="47" spans="1:8" ht="13.5" thickBot="1">
      <c r="A47" s="257"/>
      <c r="B47" s="237" t="s">
        <v>426</v>
      </c>
      <c r="C47" s="244">
        <v>42706</v>
      </c>
      <c r="D47" s="243"/>
      <c r="E47" s="243"/>
      <c r="F47" s="244"/>
      <c r="G47" s="245"/>
      <c r="H47" s="308">
        <f t="shared" si="1"/>
        <v>42706</v>
      </c>
    </row>
    <row r="48" spans="1:8" ht="12.75">
      <c r="A48" s="922" t="s">
        <v>439</v>
      </c>
      <c r="B48" s="923"/>
      <c r="C48" s="250">
        <v>2188020</v>
      </c>
      <c r="D48" s="258"/>
      <c r="E48" s="258"/>
      <c r="F48" s="259"/>
      <c r="G48" s="260"/>
      <c r="H48" s="232">
        <f t="shared" si="1"/>
        <v>2188020</v>
      </c>
    </row>
    <row r="49" spans="1:8" ht="12.75">
      <c r="A49" s="251"/>
      <c r="B49" s="109" t="s">
        <v>425</v>
      </c>
      <c r="C49" s="242">
        <v>238357</v>
      </c>
      <c r="D49" s="235"/>
      <c r="E49" s="235"/>
      <c r="F49" s="234"/>
      <c r="G49" s="235"/>
      <c r="H49" s="163">
        <f t="shared" si="1"/>
        <v>238357</v>
      </c>
    </row>
    <row r="50" spans="1:8" ht="13.5" thickBot="1">
      <c r="A50" s="265"/>
      <c r="B50" s="237" t="s">
        <v>426</v>
      </c>
      <c r="C50" s="259">
        <v>39850</v>
      </c>
      <c r="D50" s="258"/>
      <c r="E50" s="258"/>
      <c r="F50" s="259"/>
      <c r="G50" s="260"/>
      <c r="H50" s="308">
        <f t="shared" si="1"/>
        <v>39850</v>
      </c>
    </row>
    <row r="51" spans="1:8" ht="12.75">
      <c r="A51" s="920" t="s">
        <v>440</v>
      </c>
      <c r="B51" s="921"/>
      <c r="C51" s="253">
        <v>2949663</v>
      </c>
      <c r="D51" s="254"/>
      <c r="E51" s="254"/>
      <c r="F51" s="255"/>
      <c r="G51" s="256"/>
      <c r="H51" s="232">
        <f t="shared" si="1"/>
        <v>2949663</v>
      </c>
    </row>
    <row r="52" spans="1:8" ht="12.75">
      <c r="A52" s="251"/>
      <c r="B52" s="109" t="s">
        <v>425</v>
      </c>
      <c r="C52" s="242">
        <v>248288</v>
      </c>
      <c r="D52" s="235"/>
      <c r="E52" s="235"/>
      <c r="F52" s="234"/>
      <c r="G52" s="235"/>
      <c r="H52" s="163">
        <f t="shared" si="1"/>
        <v>248288</v>
      </c>
    </row>
    <row r="53" spans="1:8" ht="13.5" thickBot="1">
      <c r="A53" s="265"/>
      <c r="B53" s="237" t="s">
        <v>426</v>
      </c>
      <c r="C53" s="259">
        <v>36871</v>
      </c>
      <c r="D53" s="258"/>
      <c r="E53" s="258"/>
      <c r="F53" s="259"/>
      <c r="G53" s="260"/>
      <c r="H53" s="308">
        <f t="shared" si="1"/>
        <v>36871</v>
      </c>
    </row>
    <row r="54" spans="1:8" ht="12.75">
      <c r="A54" s="920" t="s">
        <v>441</v>
      </c>
      <c r="B54" s="921"/>
      <c r="C54" s="253">
        <v>2701375</v>
      </c>
      <c r="D54" s="254"/>
      <c r="E54" s="254"/>
      <c r="F54" s="255"/>
      <c r="G54" s="256"/>
      <c r="H54" s="232">
        <f t="shared" si="1"/>
        <v>2701375</v>
      </c>
    </row>
    <row r="55" spans="1:8" ht="12.75">
      <c r="A55" s="251"/>
      <c r="B55" s="109" t="s">
        <v>425</v>
      </c>
      <c r="C55" s="242">
        <v>307877</v>
      </c>
      <c r="D55" s="235"/>
      <c r="E55" s="235"/>
      <c r="F55" s="234"/>
      <c r="G55" s="235"/>
      <c r="H55" s="163">
        <f t="shared" si="1"/>
        <v>307877</v>
      </c>
    </row>
    <row r="56" spans="1:8" ht="13.5" thickBot="1">
      <c r="A56" s="265"/>
      <c r="B56" s="237" t="s">
        <v>426</v>
      </c>
      <c r="C56" s="259">
        <v>33767</v>
      </c>
      <c r="D56" s="258"/>
      <c r="E56" s="258"/>
      <c r="F56" s="259"/>
      <c r="G56" s="260"/>
      <c r="H56" s="308">
        <f t="shared" si="1"/>
        <v>33767</v>
      </c>
    </row>
    <row r="57" spans="1:8" ht="12.75">
      <c r="A57" s="920" t="s">
        <v>442</v>
      </c>
      <c r="B57" s="921"/>
      <c r="C57" s="253">
        <v>2393498</v>
      </c>
      <c r="D57" s="254"/>
      <c r="E57" s="254"/>
      <c r="F57" s="255"/>
      <c r="G57" s="256"/>
      <c r="H57" s="232">
        <f t="shared" si="1"/>
        <v>2393498</v>
      </c>
    </row>
    <row r="58" spans="1:8" ht="12.75">
      <c r="A58" s="249"/>
      <c r="B58" s="252" t="s">
        <v>425</v>
      </c>
      <c r="C58" s="247">
        <v>327740</v>
      </c>
      <c r="D58" s="246"/>
      <c r="E58" s="246"/>
      <c r="F58" s="241"/>
      <c r="G58" s="246"/>
      <c r="H58" s="163">
        <f t="shared" si="1"/>
        <v>327740</v>
      </c>
    </row>
    <row r="59" spans="1:8" ht="13.5" thickBot="1">
      <c r="A59" s="236"/>
      <c r="B59" s="237" t="s">
        <v>426</v>
      </c>
      <c r="C59" s="238">
        <v>29919</v>
      </c>
      <c r="D59" s="266"/>
      <c r="E59" s="266"/>
      <c r="F59" s="237"/>
      <c r="G59" s="266"/>
      <c r="H59" s="308">
        <f t="shared" si="1"/>
        <v>29919</v>
      </c>
    </row>
    <row r="60" spans="1:8" ht="12.75">
      <c r="A60" s="920" t="s">
        <v>443</v>
      </c>
      <c r="B60" s="921"/>
      <c r="C60" s="253">
        <v>2065758</v>
      </c>
      <c r="D60" s="254"/>
      <c r="E60" s="254"/>
      <c r="F60" s="255"/>
      <c r="G60" s="256"/>
      <c r="H60" s="232">
        <f t="shared" si="1"/>
        <v>2065758</v>
      </c>
    </row>
    <row r="61" spans="1:8" ht="12.75">
      <c r="A61" s="249"/>
      <c r="B61" s="252" t="s">
        <v>425</v>
      </c>
      <c r="C61" s="247">
        <v>347603</v>
      </c>
      <c r="D61" s="246"/>
      <c r="E61" s="246"/>
      <c r="F61" s="241"/>
      <c r="G61" s="246"/>
      <c r="H61" s="163">
        <f t="shared" si="1"/>
        <v>347603</v>
      </c>
    </row>
    <row r="62" spans="1:8" ht="13.5" thickBot="1">
      <c r="A62" s="236"/>
      <c r="B62" s="237" t="s">
        <v>426</v>
      </c>
      <c r="C62" s="238">
        <v>25822</v>
      </c>
      <c r="D62" s="266"/>
      <c r="E62" s="266"/>
      <c r="F62" s="237"/>
      <c r="G62" s="266"/>
      <c r="H62" s="308">
        <f t="shared" si="1"/>
        <v>25822</v>
      </c>
    </row>
    <row r="63" spans="1:8" ht="12.75">
      <c r="A63" s="920" t="s">
        <v>444</v>
      </c>
      <c r="B63" s="921"/>
      <c r="C63" s="253">
        <v>1718155</v>
      </c>
      <c r="D63" s="254"/>
      <c r="E63" s="254"/>
      <c r="F63" s="255"/>
      <c r="G63" s="256"/>
      <c r="H63" s="232">
        <f t="shared" si="1"/>
        <v>1718155</v>
      </c>
    </row>
    <row r="64" spans="1:8" ht="12.75">
      <c r="A64" s="249"/>
      <c r="B64" s="252" t="s">
        <v>425</v>
      </c>
      <c r="C64" s="247">
        <v>367467</v>
      </c>
      <c r="D64" s="246"/>
      <c r="E64" s="246"/>
      <c r="F64" s="241"/>
      <c r="G64" s="246"/>
      <c r="H64" s="163">
        <f t="shared" si="1"/>
        <v>367467</v>
      </c>
    </row>
    <row r="65" spans="1:8" ht="13.5" thickBot="1">
      <c r="A65" s="236"/>
      <c r="B65" s="237" t="s">
        <v>426</v>
      </c>
      <c r="C65" s="238">
        <v>21477</v>
      </c>
      <c r="D65" s="266"/>
      <c r="E65" s="266"/>
      <c r="F65" s="237"/>
      <c r="G65" s="266"/>
      <c r="H65" s="308">
        <f t="shared" si="1"/>
        <v>21477</v>
      </c>
    </row>
    <row r="66" spans="1:8" ht="12.75">
      <c r="A66" s="920" t="s">
        <v>445</v>
      </c>
      <c r="B66" s="921"/>
      <c r="C66" s="253">
        <v>1350688</v>
      </c>
      <c r="D66" s="254"/>
      <c r="E66" s="254"/>
      <c r="F66" s="255"/>
      <c r="G66" s="256"/>
      <c r="H66" s="232">
        <f t="shared" si="1"/>
        <v>1350688</v>
      </c>
    </row>
    <row r="67" spans="1:8" ht="12.75">
      <c r="A67" s="249"/>
      <c r="B67" s="252" t="s">
        <v>425</v>
      </c>
      <c r="C67" s="247">
        <v>417124</v>
      </c>
      <c r="D67" s="246"/>
      <c r="E67" s="246"/>
      <c r="F67" s="241"/>
      <c r="G67" s="246"/>
      <c r="H67" s="163">
        <f t="shared" si="1"/>
        <v>417124</v>
      </c>
    </row>
    <row r="68" spans="1:8" ht="13.5" thickBot="1">
      <c r="A68" s="236"/>
      <c r="B68" s="237" t="s">
        <v>426</v>
      </c>
      <c r="C68" s="238">
        <v>16884</v>
      </c>
      <c r="D68" s="266"/>
      <c r="E68" s="266"/>
      <c r="F68" s="237"/>
      <c r="G68" s="266"/>
      <c r="H68" s="308">
        <f t="shared" si="1"/>
        <v>16884</v>
      </c>
    </row>
    <row r="69" spans="1:8" ht="12.75">
      <c r="A69" s="920" t="s">
        <v>446</v>
      </c>
      <c r="B69" s="921"/>
      <c r="C69" s="253">
        <v>933564</v>
      </c>
      <c r="D69" s="254"/>
      <c r="E69" s="254"/>
      <c r="F69" s="255"/>
      <c r="G69" s="256"/>
      <c r="H69" s="232">
        <f t="shared" si="1"/>
        <v>933564</v>
      </c>
    </row>
    <row r="70" spans="1:8" ht="12.75">
      <c r="A70" s="249"/>
      <c r="B70" s="252" t="s">
        <v>425</v>
      </c>
      <c r="C70" s="247">
        <v>436987</v>
      </c>
      <c r="D70" s="246"/>
      <c r="E70" s="246"/>
      <c r="F70" s="241"/>
      <c r="G70" s="246"/>
      <c r="H70" s="163">
        <f t="shared" si="1"/>
        <v>436987</v>
      </c>
    </row>
    <row r="71" spans="1:8" ht="13.5" thickBot="1">
      <c r="A71" s="236"/>
      <c r="B71" s="237" t="s">
        <v>426</v>
      </c>
      <c r="C71" s="238">
        <v>11670</v>
      </c>
      <c r="D71" s="266"/>
      <c r="E71" s="266"/>
      <c r="F71" s="237"/>
      <c r="G71" s="266"/>
      <c r="H71" s="308">
        <f t="shared" si="1"/>
        <v>11670</v>
      </c>
    </row>
    <row r="72" spans="1:8" ht="12.75">
      <c r="A72" s="920" t="s">
        <v>447</v>
      </c>
      <c r="B72" s="921"/>
      <c r="C72" s="253">
        <v>496577</v>
      </c>
      <c r="D72" s="254"/>
      <c r="E72" s="254"/>
      <c r="F72" s="255"/>
      <c r="G72" s="256"/>
      <c r="H72" s="232">
        <f t="shared" si="1"/>
        <v>496577</v>
      </c>
    </row>
    <row r="73" spans="1:8" ht="12.75">
      <c r="A73" s="251"/>
      <c r="B73" s="109" t="s">
        <v>425</v>
      </c>
      <c r="C73" s="247">
        <v>496577</v>
      </c>
      <c r="D73" s="246"/>
      <c r="E73" s="246"/>
      <c r="F73" s="241"/>
      <c r="G73" s="246"/>
      <c r="H73" s="163">
        <f t="shared" si="1"/>
        <v>496577</v>
      </c>
    </row>
    <row r="74" spans="1:8" ht="13.5" thickBot="1">
      <c r="A74" s="267"/>
      <c r="B74" s="268" t="s">
        <v>426</v>
      </c>
      <c r="C74" s="269">
        <v>6207</v>
      </c>
      <c r="D74" s="270"/>
      <c r="E74" s="270"/>
      <c r="F74" s="268"/>
      <c r="G74" s="270"/>
      <c r="H74" s="307">
        <f t="shared" si="1"/>
        <v>6207</v>
      </c>
    </row>
    <row r="75" ht="13.5" thickTop="1"/>
  </sheetData>
  <mergeCells count="33">
    <mergeCell ref="A3:H3"/>
    <mergeCell ref="A4:H4"/>
    <mergeCell ref="A6:B11"/>
    <mergeCell ref="C6:G6"/>
    <mergeCell ref="H6:H11"/>
    <mergeCell ref="C7:C11"/>
    <mergeCell ref="D7:G7"/>
    <mergeCell ref="G8:G11"/>
    <mergeCell ref="E8:F9"/>
    <mergeCell ref="A12:B12"/>
    <mergeCell ref="A15:B15"/>
    <mergeCell ref="E10:E11"/>
    <mergeCell ref="F10:F11"/>
    <mergeCell ref="D8:D11"/>
    <mergeCell ref="A18:B18"/>
    <mergeCell ref="A21:B21"/>
    <mergeCell ref="A24:B24"/>
    <mergeCell ref="A27:B27"/>
    <mergeCell ref="A30:B30"/>
    <mergeCell ref="A33:B33"/>
    <mergeCell ref="A36:B36"/>
    <mergeCell ref="A39:B39"/>
    <mergeCell ref="A42:B42"/>
    <mergeCell ref="A45:B45"/>
    <mergeCell ref="A48:B48"/>
    <mergeCell ref="A51:B51"/>
    <mergeCell ref="A54:B54"/>
    <mergeCell ref="A69:B69"/>
    <mergeCell ref="A72:B72"/>
    <mergeCell ref="A57:B57"/>
    <mergeCell ref="A60:B60"/>
    <mergeCell ref="A63:B63"/>
    <mergeCell ref="A66:B66"/>
  </mergeCells>
  <printOptions horizontalCentered="1"/>
  <pageMargins left="0.7874015748031497" right="0.7874015748031497" top="0.41" bottom="0.31496062992125984" header="0.2755905511811024" footer="0.2362204724409449"/>
  <pageSetup horizontalDpi="600" verticalDpi="600" orientation="portrait" paperSize="9" scale="80" r:id="rId1"/>
  <headerFooter alignWithMargins="0">
    <oddHeader>&amp;L&amp;8 12. melléklet a 2/2011.(II.25.) önkormányzati rendelethez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G28"/>
  <sheetViews>
    <sheetView workbookViewId="0" topLeftCell="A1">
      <selection activeCell="D8" sqref="D8"/>
    </sheetView>
  </sheetViews>
  <sheetFormatPr defaultColWidth="9.00390625" defaultRowHeight="12.75"/>
  <cols>
    <col min="1" max="1" width="61.25390625" style="31" customWidth="1"/>
    <col min="2" max="2" width="17.125" style="31" customWidth="1"/>
    <col min="3" max="4" width="14.375" style="31" customWidth="1"/>
    <col min="5" max="5" width="16.25390625" style="31" customWidth="1"/>
    <col min="6" max="6" width="13.00390625" style="31" customWidth="1"/>
    <col min="7" max="7" width="11.75390625" style="31" customWidth="1"/>
    <col min="8" max="16384" width="9.125" style="31" customWidth="1"/>
  </cols>
  <sheetData>
    <row r="1" spans="1:7" ht="15.75">
      <c r="A1" s="953" t="s">
        <v>402</v>
      </c>
      <c r="B1" s="954"/>
      <c r="C1" s="954"/>
      <c r="D1" s="954"/>
      <c r="E1" s="954"/>
      <c r="F1" s="954"/>
      <c r="G1" s="954"/>
    </row>
    <row r="2" spans="1:2" ht="15.75">
      <c r="A2" s="193"/>
      <c r="B2" s="83"/>
    </row>
    <row r="3" spans="1:7" ht="15.75">
      <c r="A3" s="953" t="s">
        <v>374</v>
      </c>
      <c r="B3" s="955"/>
      <c r="C3" s="955"/>
      <c r="D3" s="955"/>
      <c r="E3" s="955"/>
      <c r="F3" s="955"/>
      <c r="G3" s="955"/>
    </row>
    <row r="4" spans="1:7" ht="15.75">
      <c r="A4" s="194"/>
      <c r="B4" s="194"/>
      <c r="C4" s="194"/>
      <c r="D4" s="194"/>
      <c r="E4" s="194"/>
      <c r="F4" s="194"/>
      <c r="G4" s="194"/>
    </row>
    <row r="5" spans="1:5" ht="16.5" thickBot="1">
      <c r="A5" s="195"/>
      <c r="B5" s="195"/>
      <c r="C5" s="195"/>
      <c r="D5" s="195"/>
      <c r="E5" s="195"/>
    </row>
    <row r="6" spans="1:7" s="195" customFormat="1" ht="15.75" customHeight="1" thickTop="1">
      <c r="A6" s="962" t="s">
        <v>553</v>
      </c>
      <c r="B6" s="964" t="s">
        <v>410</v>
      </c>
      <c r="C6" s="956" t="s">
        <v>411</v>
      </c>
      <c r="D6" s="957"/>
      <c r="E6" s="958" t="s">
        <v>412</v>
      </c>
      <c r="F6" s="958" t="s">
        <v>761</v>
      </c>
      <c r="G6" s="960" t="s">
        <v>375</v>
      </c>
    </row>
    <row r="7" spans="1:7" s="195" customFormat="1" ht="66" customHeight="1">
      <c r="A7" s="963"/>
      <c r="B7" s="965"/>
      <c r="C7" s="196" t="s">
        <v>413</v>
      </c>
      <c r="D7" s="197" t="s">
        <v>414</v>
      </c>
      <c r="E7" s="959"/>
      <c r="F7" s="959"/>
      <c r="G7" s="961"/>
    </row>
    <row r="8" spans="1:7" ht="30">
      <c r="A8" s="198" t="s">
        <v>415</v>
      </c>
      <c r="B8" s="199" t="s">
        <v>416</v>
      </c>
      <c r="C8" s="200">
        <v>2002</v>
      </c>
      <c r="D8" s="201">
        <v>13130</v>
      </c>
      <c r="E8" s="202">
        <v>2012</v>
      </c>
      <c r="F8" s="203">
        <v>2910</v>
      </c>
      <c r="G8" s="204">
        <v>1460</v>
      </c>
    </row>
    <row r="9" spans="1:7" ht="30">
      <c r="A9" s="198" t="s">
        <v>417</v>
      </c>
      <c r="B9" s="205" t="s">
        <v>416</v>
      </c>
      <c r="C9" s="206">
        <v>2004</v>
      </c>
      <c r="D9" s="207">
        <v>27075</v>
      </c>
      <c r="E9" s="208">
        <v>2014</v>
      </c>
      <c r="F9" s="209">
        <v>9913</v>
      </c>
      <c r="G9" s="204">
        <v>2850</v>
      </c>
    </row>
    <row r="10" spans="1:7" ht="15.75">
      <c r="A10" s="210" t="s">
        <v>418</v>
      </c>
      <c r="B10" s="211" t="s">
        <v>419</v>
      </c>
      <c r="C10" s="212">
        <v>2006</v>
      </c>
      <c r="D10" s="213">
        <v>5680</v>
      </c>
      <c r="E10" s="214">
        <v>2012</v>
      </c>
      <c r="F10" s="209">
        <v>2198</v>
      </c>
      <c r="G10" s="204">
        <v>1067</v>
      </c>
    </row>
    <row r="11" spans="1:7" ht="16.5" customHeight="1">
      <c r="A11" s="215" t="s">
        <v>420</v>
      </c>
      <c r="B11" s="216" t="s">
        <v>416</v>
      </c>
      <c r="C11" s="212">
        <v>2006</v>
      </c>
      <c r="D11" s="213">
        <v>100000</v>
      </c>
      <c r="E11" s="214">
        <v>2016</v>
      </c>
      <c r="F11" s="209">
        <v>92427</v>
      </c>
      <c r="G11" s="204">
        <v>15000</v>
      </c>
    </row>
    <row r="12" spans="1:7" ht="16.5" customHeight="1">
      <c r="A12" s="217" t="s">
        <v>422</v>
      </c>
      <c r="B12" s="218" t="s">
        <v>416</v>
      </c>
      <c r="C12" s="200">
        <v>2008</v>
      </c>
      <c r="D12" s="201">
        <v>3570000</v>
      </c>
      <c r="E12" s="202">
        <v>2031</v>
      </c>
      <c r="F12" s="219">
        <v>4965764</v>
      </c>
      <c r="G12" s="204">
        <v>0</v>
      </c>
    </row>
    <row r="13" spans="1:7" ht="16.5" thickBot="1">
      <c r="A13" s="220" t="s">
        <v>549</v>
      </c>
      <c r="B13" s="221"/>
      <c r="C13" s="222"/>
      <c r="D13" s="223"/>
      <c r="E13" s="223"/>
      <c r="F13" s="224">
        <f>SUM(F8:F12)</f>
        <v>5073212</v>
      </c>
      <c r="G13" s="225">
        <f>SUM(G8:G12)</f>
        <v>20377</v>
      </c>
    </row>
    <row r="14" spans="1:7" ht="16.5" thickTop="1">
      <c r="A14" s="298"/>
      <c r="B14" s="298"/>
      <c r="C14" s="299"/>
      <c r="D14" s="300"/>
      <c r="E14" s="300"/>
      <c r="F14" s="301"/>
      <c r="G14" s="302"/>
    </row>
    <row r="16" spans="1:5" ht="15.75">
      <c r="A16" s="952" t="s">
        <v>204</v>
      </c>
      <c r="B16" s="952"/>
      <c r="C16" s="952"/>
      <c r="D16" s="952"/>
      <c r="E16" s="952"/>
    </row>
    <row r="17" ht="16.5" thickBot="1"/>
    <row r="18" spans="1:6" ht="63.75" thickTop="1">
      <c r="A18" s="795" t="s">
        <v>205</v>
      </c>
      <c r="B18" s="796" t="s">
        <v>206</v>
      </c>
      <c r="C18" s="796" t="s">
        <v>207</v>
      </c>
      <c r="D18" s="796" t="s">
        <v>208</v>
      </c>
      <c r="E18" s="797" t="s">
        <v>209</v>
      </c>
      <c r="F18" s="798"/>
    </row>
    <row r="19" spans="1:5" ht="15.75">
      <c r="A19" s="799" t="s">
        <v>210</v>
      </c>
      <c r="B19" s="800">
        <v>2012</v>
      </c>
      <c r="C19" s="801">
        <f>SUM(D19:E19)</f>
        <v>794975</v>
      </c>
      <c r="D19" s="801">
        <f>11431+65544</f>
        <v>76975</v>
      </c>
      <c r="E19" s="802">
        <v>718000</v>
      </c>
    </row>
    <row r="20" spans="1:5" ht="15.75">
      <c r="A20" s="799" t="s">
        <v>211</v>
      </c>
      <c r="B20" s="800">
        <v>2011</v>
      </c>
      <c r="C20" s="801">
        <f aca="true" t="shared" si="0" ref="C20:C27">SUM(D20:E20)</f>
        <v>74051</v>
      </c>
      <c r="D20" s="801">
        <f>1254+62297</f>
        <v>63551</v>
      </c>
      <c r="E20" s="802">
        <v>10500</v>
      </c>
    </row>
    <row r="21" spans="1:5" ht="15.75">
      <c r="A21" s="799" t="s">
        <v>26</v>
      </c>
      <c r="B21" s="800">
        <v>2013</v>
      </c>
      <c r="C21" s="801">
        <f t="shared" si="0"/>
        <v>1280605</v>
      </c>
      <c r="D21" s="801">
        <f>200+13423+16982</f>
        <v>30605</v>
      </c>
      <c r="E21" s="802">
        <v>1250000</v>
      </c>
    </row>
    <row r="22" spans="1:5" ht="15.75">
      <c r="A22" s="799" t="s">
        <v>212</v>
      </c>
      <c r="B22" s="800">
        <v>2011</v>
      </c>
      <c r="C22" s="801">
        <f t="shared" si="0"/>
        <v>65337</v>
      </c>
      <c r="D22" s="801">
        <f>725+3387+1873</f>
        <v>5985</v>
      </c>
      <c r="E22" s="802">
        <v>59352</v>
      </c>
    </row>
    <row r="23" spans="1:5" ht="15.75">
      <c r="A23" s="799" t="s">
        <v>213</v>
      </c>
      <c r="B23" s="800">
        <v>2011</v>
      </c>
      <c r="C23" s="801">
        <f t="shared" si="0"/>
        <v>155758</v>
      </c>
      <c r="D23" s="801">
        <f>3650+5765</f>
        <v>9415</v>
      </c>
      <c r="E23" s="802">
        <v>146343</v>
      </c>
    </row>
    <row r="24" spans="1:5" ht="15.75">
      <c r="A24" s="799" t="s">
        <v>214</v>
      </c>
      <c r="B24" s="800">
        <v>2011</v>
      </c>
      <c r="C24" s="801">
        <f t="shared" si="0"/>
        <v>35000</v>
      </c>
      <c r="D24" s="801">
        <v>15000</v>
      </c>
      <c r="E24" s="802">
        <v>20000</v>
      </c>
    </row>
    <row r="25" spans="1:5" ht="15.75">
      <c r="A25" s="799" t="s">
        <v>215</v>
      </c>
      <c r="B25" s="800">
        <v>2011</v>
      </c>
      <c r="C25" s="801">
        <f t="shared" si="0"/>
        <v>7950</v>
      </c>
      <c r="D25" s="801">
        <v>0</v>
      </c>
      <c r="E25" s="802">
        <f>4050+3900</f>
        <v>7950</v>
      </c>
    </row>
    <row r="26" spans="1:5" ht="15.75">
      <c r="A26" s="799" t="s">
        <v>814</v>
      </c>
      <c r="B26" s="800">
        <v>2012</v>
      </c>
      <c r="C26" s="801">
        <f t="shared" si="0"/>
        <v>142322</v>
      </c>
      <c r="D26" s="801">
        <f>8096+4226</f>
        <v>12322</v>
      </c>
      <c r="E26" s="802">
        <v>130000</v>
      </c>
    </row>
    <row r="27" spans="1:5" ht="15.75">
      <c r="A27" s="799" t="s">
        <v>216</v>
      </c>
      <c r="B27" s="800">
        <v>2011</v>
      </c>
      <c r="C27" s="801">
        <f t="shared" si="0"/>
        <v>18000</v>
      </c>
      <c r="D27" s="801">
        <v>15000</v>
      </c>
      <c r="E27" s="802">
        <v>3000</v>
      </c>
    </row>
    <row r="28" spans="1:5" ht="16.5" thickBot="1">
      <c r="A28" s="803" t="s">
        <v>549</v>
      </c>
      <c r="B28" s="804"/>
      <c r="C28" s="805">
        <f>SUM(C19:C27)</f>
        <v>2573998</v>
      </c>
      <c r="D28" s="805">
        <f>SUM(D19:D27)</f>
        <v>228853</v>
      </c>
      <c r="E28" s="806">
        <f>SUM(E19:E27)</f>
        <v>2345145</v>
      </c>
    </row>
    <row r="29" ht="16.5" thickTop="1"/>
  </sheetData>
  <mergeCells count="9">
    <mergeCell ref="A16:E16"/>
    <mergeCell ref="A1:G1"/>
    <mergeCell ref="A3:G3"/>
    <mergeCell ref="C6:D6"/>
    <mergeCell ref="E6:E7"/>
    <mergeCell ref="F6:F7"/>
    <mergeCell ref="G6:G7"/>
    <mergeCell ref="A6:A7"/>
    <mergeCell ref="B6:B7"/>
  </mergeCells>
  <printOptions horizontalCentered="1"/>
  <pageMargins left="0.15748031496062992" right="0.15748031496062992" top="0.5" bottom="0.2755905511811024" header="0.1968503937007874" footer="0.15748031496062992"/>
  <pageSetup horizontalDpi="600" verticalDpi="600" orientation="landscape" paperSize="9" scale="75" r:id="rId1"/>
  <headerFooter alignWithMargins="0">
    <oddHeader>&amp;L&amp;8 13. melléklet a 2/2011.(II.25.) önkormányzati rendelethez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O52"/>
  <sheetViews>
    <sheetView workbookViewId="0" topLeftCell="A1">
      <selection activeCell="B10" sqref="B10"/>
    </sheetView>
  </sheetViews>
  <sheetFormatPr defaultColWidth="9.00390625" defaultRowHeight="12.75"/>
  <cols>
    <col min="1" max="1" width="40.75390625" style="82" customWidth="1"/>
    <col min="2" max="14" width="10.875" style="82" customWidth="1"/>
    <col min="15" max="16384" width="9.125" style="82" customWidth="1"/>
  </cols>
  <sheetData>
    <row r="1" spans="1:15" ht="12.75">
      <c r="A1" s="733"/>
      <c r="B1" s="733"/>
      <c r="C1" s="733"/>
      <c r="D1" s="733"/>
      <c r="E1" s="733"/>
      <c r="F1" s="733"/>
      <c r="G1" s="733"/>
      <c r="H1" s="733"/>
      <c r="I1" s="733"/>
      <c r="J1" s="733"/>
      <c r="K1" s="733"/>
      <c r="L1" s="733"/>
      <c r="M1" s="733"/>
      <c r="N1" s="733"/>
      <c r="O1" s="733"/>
    </row>
    <row r="2" spans="1:15" ht="12.75">
      <c r="A2" s="733"/>
      <c r="B2" s="733"/>
      <c r="C2" s="733"/>
      <c r="D2" s="733"/>
      <c r="E2" s="733"/>
      <c r="F2" s="733"/>
      <c r="G2" s="733"/>
      <c r="H2" s="733"/>
      <c r="I2" s="733"/>
      <c r="J2" s="733"/>
      <c r="K2" s="733"/>
      <c r="L2" s="733"/>
      <c r="M2" s="733"/>
      <c r="N2" s="733"/>
      <c r="O2" s="733"/>
    </row>
    <row r="3" spans="1:15" ht="12.75">
      <c r="A3" s="966" t="s">
        <v>310</v>
      </c>
      <c r="B3" s="966"/>
      <c r="C3" s="966"/>
      <c r="D3" s="966"/>
      <c r="E3" s="966"/>
      <c r="F3" s="966"/>
      <c r="G3" s="966"/>
      <c r="H3" s="966"/>
      <c r="I3" s="966"/>
      <c r="J3" s="966"/>
      <c r="K3" s="966"/>
      <c r="L3" s="966"/>
      <c r="M3" s="966"/>
      <c r="N3" s="966"/>
      <c r="O3" s="733"/>
    </row>
    <row r="4" spans="1:15" ht="12.75">
      <c r="A4" s="966" t="s">
        <v>311</v>
      </c>
      <c r="B4" s="966"/>
      <c r="C4" s="966"/>
      <c r="D4" s="966"/>
      <c r="E4" s="966"/>
      <c r="F4" s="966"/>
      <c r="G4" s="966"/>
      <c r="H4" s="966"/>
      <c r="I4" s="966"/>
      <c r="J4" s="966"/>
      <c r="K4" s="966"/>
      <c r="L4" s="966"/>
      <c r="M4" s="966"/>
      <c r="N4" s="966"/>
      <c r="O4" s="733"/>
    </row>
    <row r="5" spans="1:15" ht="12.75">
      <c r="A5" s="733"/>
      <c r="B5" s="733"/>
      <c r="C5" s="733"/>
      <c r="D5" s="733"/>
      <c r="E5" s="733"/>
      <c r="F5" s="733"/>
      <c r="G5" s="733"/>
      <c r="H5" s="733"/>
      <c r="I5" s="733"/>
      <c r="J5" s="733"/>
      <c r="K5" s="733"/>
      <c r="L5" s="733"/>
      <c r="M5" s="733"/>
      <c r="N5" s="733"/>
      <c r="O5" s="733"/>
    </row>
    <row r="6" spans="1:15" ht="12.75">
      <c r="A6" s="966" t="s">
        <v>312</v>
      </c>
      <c r="B6" s="966"/>
      <c r="C6" s="966"/>
      <c r="D6" s="966"/>
      <c r="E6" s="966"/>
      <c r="F6" s="966"/>
      <c r="G6" s="966"/>
      <c r="H6" s="966"/>
      <c r="I6" s="966"/>
      <c r="J6" s="966"/>
      <c r="K6" s="966"/>
      <c r="L6" s="966"/>
      <c r="M6" s="966"/>
      <c r="N6" s="966"/>
      <c r="O6" s="733"/>
    </row>
    <row r="7" spans="1:15" ht="13.5" thickBot="1">
      <c r="A7" s="733"/>
      <c r="B7" s="733"/>
      <c r="C7" s="733"/>
      <c r="D7" s="733"/>
      <c r="E7" s="733"/>
      <c r="F7" s="733"/>
      <c r="G7" s="733"/>
      <c r="H7" s="733"/>
      <c r="I7" s="733"/>
      <c r="J7" s="733"/>
      <c r="K7" s="733"/>
      <c r="L7" s="733"/>
      <c r="M7" s="733"/>
      <c r="N7" s="734" t="s">
        <v>494</v>
      </c>
      <c r="O7" s="733"/>
    </row>
    <row r="8" spans="1:15" ht="13.5" thickTop="1">
      <c r="A8" s="735" t="s">
        <v>496</v>
      </c>
      <c r="B8" s="736" t="s">
        <v>313</v>
      </c>
      <c r="C8" s="736" t="s">
        <v>314</v>
      </c>
      <c r="D8" s="736" t="s">
        <v>315</v>
      </c>
      <c r="E8" s="736" t="s">
        <v>316</v>
      </c>
      <c r="F8" s="736" t="s">
        <v>317</v>
      </c>
      <c r="G8" s="736" t="s">
        <v>318</v>
      </c>
      <c r="H8" s="736" t="s">
        <v>319</v>
      </c>
      <c r="I8" s="736" t="s">
        <v>320</v>
      </c>
      <c r="J8" s="736" t="s">
        <v>321</v>
      </c>
      <c r="K8" s="736" t="s">
        <v>322</v>
      </c>
      <c r="L8" s="736" t="s">
        <v>323</v>
      </c>
      <c r="M8" s="737" t="s">
        <v>324</v>
      </c>
      <c r="N8" s="738" t="s">
        <v>530</v>
      </c>
      <c r="O8" s="733"/>
    </row>
    <row r="9" spans="1:15" ht="12.75">
      <c r="A9" s="739" t="s">
        <v>325</v>
      </c>
      <c r="B9" s="740">
        <v>765991</v>
      </c>
      <c r="C9" s="841">
        <v>824723</v>
      </c>
      <c r="D9" s="842">
        <v>997564</v>
      </c>
      <c r="E9" s="842">
        <v>1513308</v>
      </c>
      <c r="F9" s="842">
        <f aca="true" t="shared" si="0" ref="F9:M9">E51</f>
        <v>1617701</v>
      </c>
      <c r="G9" s="842">
        <f t="shared" si="0"/>
        <v>1501873</v>
      </c>
      <c r="H9" s="842">
        <f t="shared" si="0"/>
        <v>1047130</v>
      </c>
      <c r="I9" s="842">
        <f t="shared" si="0"/>
        <v>597717</v>
      </c>
      <c r="J9" s="843">
        <f t="shared" si="0"/>
        <v>245618</v>
      </c>
      <c r="K9" s="842">
        <f t="shared" si="0"/>
        <v>1257263</v>
      </c>
      <c r="L9" s="842">
        <f t="shared" si="0"/>
        <v>1120962</v>
      </c>
      <c r="M9" s="844">
        <f t="shared" si="0"/>
        <v>1100704</v>
      </c>
      <c r="N9" s="741"/>
      <c r="O9" s="733"/>
    </row>
    <row r="10" spans="1:15" ht="12.75">
      <c r="A10" s="742" t="s">
        <v>326</v>
      </c>
      <c r="B10" s="743">
        <f>19900+16000</f>
        <v>35900</v>
      </c>
      <c r="C10" s="744">
        <f>18600</f>
        <v>18600</v>
      </c>
      <c r="D10" s="743">
        <v>17300</v>
      </c>
      <c r="E10" s="743">
        <v>18000</v>
      </c>
      <c r="F10" s="743">
        <v>19900</v>
      </c>
      <c r="G10" s="743">
        <v>14800</v>
      </c>
      <c r="H10" s="743">
        <v>12900</v>
      </c>
      <c r="I10" s="743">
        <v>12900</v>
      </c>
      <c r="J10" s="745">
        <v>19900</v>
      </c>
      <c r="K10" s="743">
        <v>19900</v>
      </c>
      <c r="L10" s="743">
        <v>19900</v>
      </c>
      <c r="M10" s="746">
        <f>34452-16000</f>
        <v>18452</v>
      </c>
      <c r="N10" s="747">
        <v>228452</v>
      </c>
      <c r="O10" s="748"/>
    </row>
    <row r="11" spans="1:15" ht="12.75">
      <c r="A11" s="742" t="s">
        <v>28</v>
      </c>
      <c r="B11" s="743"/>
      <c r="C11" s="743"/>
      <c r="D11" s="743">
        <v>500000</v>
      </c>
      <c r="E11" s="743">
        <v>19000</v>
      </c>
      <c r="F11" s="743">
        <v>15000</v>
      </c>
      <c r="G11" s="743">
        <v>15000</v>
      </c>
      <c r="H11" s="743">
        <v>9500</v>
      </c>
      <c r="I11" s="743">
        <v>9500</v>
      </c>
      <c r="J11" s="743">
        <v>460000</v>
      </c>
      <c r="K11" s="743">
        <v>9000</v>
      </c>
      <c r="L11" s="743">
        <v>9500</v>
      </c>
      <c r="M11" s="745">
        <v>140000</v>
      </c>
      <c r="N11" s="747">
        <f aca="true" t="shared" si="1" ref="N11:N16">SUM(B11:M11)</f>
        <v>1186500</v>
      </c>
      <c r="O11" s="748"/>
    </row>
    <row r="12" spans="1:15" ht="12.75">
      <c r="A12" s="742" t="s">
        <v>49</v>
      </c>
      <c r="B12" s="743">
        <v>35712</v>
      </c>
      <c r="C12" s="743">
        <v>41992</v>
      </c>
      <c r="D12" s="743">
        <v>28751</v>
      </c>
      <c r="E12" s="743">
        <v>32233</v>
      </c>
      <c r="F12" s="743">
        <v>20651</v>
      </c>
      <c r="G12" s="743">
        <v>32233</v>
      </c>
      <c r="H12" s="743">
        <v>32233</v>
      </c>
      <c r="I12" s="743">
        <v>36040</v>
      </c>
      <c r="J12" s="743">
        <v>28751</v>
      </c>
      <c r="K12" s="743">
        <v>32193</v>
      </c>
      <c r="L12" s="743">
        <v>32193</v>
      </c>
      <c r="M12" s="745">
        <v>51957</v>
      </c>
      <c r="N12" s="747">
        <f t="shared" si="1"/>
        <v>404939</v>
      </c>
      <c r="O12" s="748"/>
    </row>
    <row r="13" spans="1:15" ht="12.75">
      <c r="A13" s="742" t="s">
        <v>327</v>
      </c>
      <c r="B13" s="743"/>
      <c r="C13" s="743"/>
      <c r="D13" s="743">
        <v>133250</v>
      </c>
      <c r="E13" s="743"/>
      <c r="F13" s="743"/>
      <c r="G13" s="743"/>
      <c r="H13" s="743"/>
      <c r="I13" s="743"/>
      <c r="J13" s="743">
        <v>126750</v>
      </c>
      <c r="K13" s="743"/>
      <c r="L13" s="743"/>
      <c r="M13" s="745"/>
      <c r="N13" s="747">
        <f t="shared" si="1"/>
        <v>260000</v>
      </c>
      <c r="O13" s="748"/>
    </row>
    <row r="14" spans="1:15" ht="12.75">
      <c r="A14" s="742" t="s">
        <v>50</v>
      </c>
      <c r="B14" s="743"/>
      <c r="C14" s="743"/>
      <c r="D14" s="743">
        <v>950</v>
      </c>
      <c r="E14" s="743"/>
      <c r="F14" s="743"/>
      <c r="G14" s="743">
        <v>950</v>
      </c>
      <c r="H14" s="743"/>
      <c r="I14" s="743"/>
      <c r="J14" s="743">
        <v>950</v>
      </c>
      <c r="K14" s="743"/>
      <c r="L14" s="743"/>
      <c r="M14" s="745">
        <v>950</v>
      </c>
      <c r="N14" s="747">
        <f t="shared" si="1"/>
        <v>3800</v>
      </c>
      <c r="O14" s="748"/>
    </row>
    <row r="15" spans="1:15" ht="12.75">
      <c r="A15" s="742" t="s">
        <v>76</v>
      </c>
      <c r="B15" s="743"/>
      <c r="C15" s="743"/>
      <c r="D15" s="743">
        <v>300</v>
      </c>
      <c r="E15" s="743"/>
      <c r="F15" s="743"/>
      <c r="G15" s="743">
        <v>800</v>
      </c>
      <c r="H15" s="743">
        <v>900</v>
      </c>
      <c r="I15" s="743">
        <v>600</v>
      </c>
      <c r="J15" s="743"/>
      <c r="K15" s="743"/>
      <c r="L15" s="743">
        <v>800</v>
      </c>
      <c r="M15" s="745"/>
      <c r="N15" s="747">
        <f t="shared" si="1"/>
        <v>3400</v>
      </c>
      <c r="O15" s="748"/>
    </row>
    <row r="16" spans="1:15" ht="12.75">
      <c r="A16" s="742" t="s">
        <v>328</v>
      </c>
      <c r="B16" s="743">
        <v>7407</v>
      </c>
      <c r="C16" s="743">
        <v>7443</v>
      </c>
      <c r="D16" s="743">
        <v>8368</v>
      </c>
      <c r="E16" s="743">
        <v>6519</v>
      </c>
      <c r="F16" s="743">
        <v>7443</v>
      </c>
      <c r="G16" s="743">
        <v>9293</v>
      </c>
      <c r="H16" s="743">
        <v>6519</v>
      </c>
      <c r="I16" s="743">
        <v>6764</v>
      </c>
      <c r="J16" s="743">
        <v>8368</v>
      </c>
      <c r="K16" s="743">
        <v>7407</v>
      </c>
      <c r="L16" s="743">
        <v>8141</v>
      </c>
      <c r="M16" s="745">
        <v>6992</v>
      </c>
      <c r="N16" s="747">
        <f t="shared" si="1"/>
        <v>90664</v>
      </c>
      <c r="O16" s="748"/>
    </row>
    <row r="17" spans="1:15" ht="12.75">
      <c r="A17" s="742" t="s">
        <v>329</v>
      </c>
      <c r="B17" s="743">
        <v>3048</v>
      </c>
      <c r="C17" s="743">
        <v>4787</v>
      </c>
      <c r="D17" s="743">
        <v>19464</v>
      </c>
      <c r="E17" s="743">
        <v>21721</v>
      </c>
      <c r="F17" s="743">
        <v>27751</v>
      </c>
      <c r="G17" s="743">
        <v>33212</v>
      </c>
      <c r="H17" s="743">
        <v>21721</v>
      </c>
      <c r="I17" s="743">
        <v>14203</v>
      </c>
      <c r="J17" s="743">
        <v>21721</v>
      </c>
      <c r="K17" s="743">
        <v>21721</v>
      </c>
      <c r="L17" s="743">
        <v>17951</v>
      </c>
      <c r="M17" s="745">
        <v>18536</v>
      </c>
      <c r="N17" s="747">
        <v>225836</v>
      </c>
      <c r="O17" s="748"/>
    </row>
    <row r="18" spans="1:15" ht="12.75">
      <c r="A18" s="742" t="s">
        <v>603</v>
      </c>
      <c r="B18" s="743">
        <v>517</v>
      </c>
      <c r="C18" s="743">
        <v>818</v>
      </c>
      <c r="D18" s="743">
        <v>3326</v>
      </c>
      <c r="E18" s="743">
        <v>3700</v>
      </c>
      <c r="F18" s="743">
        <v>4750</v>
      </c>
      <c r="G18" s="743">
        <v>5650</v>
      </c>
      <c r="H18" s="743">
        <v>3700</v>
      </c>
      <c r="I18" s="743">
        <v>2400</v>
      </c>
      <c r="J18" s="743">
        <v>3700</v>
      </c>
      <c r="K18" s="743">
        <v>3700</v>
      </c>
      <c r="L18" s="743">
        <v>3000</v>
      </c>
      <c r="M18" s="745">
        <v>3329</v>
      </c>
      <c r="N18" s="747">
        <f>SUM(B18:M18)</f>
        <v>38590</v>
      </c>
      <c r="O18" s="748"/>
    </row>
    <row r="19" spans="1:15" ht="12.75">
      <c r="A19" s="742" t="s">
        <v>330</v>
      </c>
      <c r="B19" s="743"/>
      <c r="C19" s="743"/>
      <c r="D19" s="743"/>
      <c r="E19" s="743"/>
      <c r="F19" s="743">
        <v>7742</v>
      </c>
      <c r="G19" s="743">
        <v>7742</v>
      </c>
      <c r="H19" s="743"/>
      <c r="I19" s="743"/>
      <c r="J19" s="743"/>
      <c r="K19" s="743"/>
      <c r="L19" s="743"/>
      <c r="M19" s="745"/>
      <c r="N19" s="747">
        <f>SUM(B19:M19)</f>
        <v>15484</v>
      </c>
      <c r="O19" s="748"/>
    </row>
    <row r="20" spans="1:15" ht="12.75">
      <c r="A20" s="742" t="s">
        <v>331</v>
      </c>
      <c r="B20" s="743">
        <v>78227</v>
      </c>
      <c r="C20" s="743">
        <v>94117</v>
      </c>
      <c r="D20" s="743">
        <v>60611</v>
      </c>
      <c r="E20" s="743">
        <v>69420</v>
      </c>
      <c r="F20" s="743">
        <v>40330</v>
      </c>
      <c r="G20" s="743">
        <v>69420</v>
      </c>
      <c r="H20" s="743">
        <v>69420</v>
      </c>
      <c r="I20" s="743">
        <v>79124</v>
      </c>
      <c r="J20" s="743">
        <v>60611</v>
      </c>
      <c r="K20" s="743">
        <v>69420</v>
      </c>
      <c r="L20" s="743">
        <v>69420</v>
      </c>
      <c r="M20" s="745">
        <v>118906</v>
      </c>
      <c r="N20" s="747">
        <f>SUM(B20:M20)</f>
        <v>879026</v>
      </c>
      <c r="O20" s="748"/>
    </row>
    <row r="21" spans="1:15" ht="12.75">
      <c r="A21" s="742" t="s">
        <v>332</v>
      </c>
      <c r="B21" s="743">
        <v>14793</v>
      </c>
      <c r="C21" s="743">
        <v>8072</v>
      </c>
      <c r="D21" s="743">
        <v>8072</v>
      </c>
      <c r="E21" s="743">
        <v>8072</v>
      </c>
      <c r="F21" s="743">
        <v>8072</v>
      </c>
      <c r="G21" s="743">
        <v>8072</v>
      </c>
      <c r="H21" s="743">
        <v>8072</v>
      </c>
      <c r="I21" s="743">
        <v>8072</v>
      </c>
      <c r="J21" s="743">
        <v>8072</v>
      </c>
      <c r="K21" s="743">
        <v>8072</v>
      </c>
      <c r="L21" s="743">
        <v>8072</v>
      </c>
      <c r="M21" s="745">
        <v>8370</v>
      </c>
      <c r="N21" s="747">
        <f>SUM(B21:M21)</f>
        <v>103883</v>
      </c>
      <c r="O21" s="748"/>
    </row>
    <row r="22" spans="1:15" ht="12.75">
      <c r="A22" s="742" t="s">
        <v>333</v>
      </c>
      <c r="B22" s="743">
        <v>112634</v>
      </c>
      <c r="C22" s="743">
        <v>55880</v>
      </c>
      <c r="D22" s="743">
        <v>55880</v>
      </c>
      <c r="E22" s="743">
        <v>55880</v>
      </c>
      <c r="F22" s="743">
        <v>55880</v>
      </c>
      <c r="G22" s="743">
        <v>55880</v>
      </c>
      <c r="H22" s="743">
        <v>55880</v>
      </c>
      <c r="I22" s="743">
        <v>55880</v>
      </c>
      <c r="J22" s="743">
        <v>55880</v>
      </c>
      <c r="K22" s="743">
        <v>55880</v>
      </c>
      <c r="L22" s="743">
        <v>55880</v>
      </c>
      <c r="M22" s="745">
        <v>56179</v>
      </c>
      <c r="N22" s="747">
        <f>SUM(B22:M22)</f>
        <v>727613</v>
      </c>
      <c r="O22" s="748"/>
    </row>
    <row r="23" spans="1:15" ht="25.5">
      <c r="A23" s="749" t="s">
        <v>334</v>
      </c>
      <c r="B23" s="743">
        <v>9371</v>
      </c>
      <c r="C23" s="743">
        <v>96392</v>
      </c>
      <c r="D23" s="743">
        <v>133878</v>
      </c>
      <c r="E23" s="743">
        <v>133878</v>
      </c>
      <c r="F23" s="743">
        <v>133878</v>
      </c>
      <c r="G23" s="743">
        <v>148203</v>
      </c>
      <c r="H23" s="743">
        <v>148203</v>
      </c>
      <c r="I23" s="743">
        <v>129594</v>
      </c>
      <c r="J23" s="743">
        <v>129594</v>
      </c>
      <c r="K23" s="743">
        <v>96392</v>
      </c>
      <c r="L23" s="743">
        <v>96392</v>
      </c>
      <c r="M23" s="745">
        <v>95403</v>
      </c>
      <c r="N23" s="747">
        <v>1351178</v>
      </c>
      <c r="O23" s="748"/>
    </row>
    <row r="24" spans="1:15" ht="25.5">
      <c r="A24" s="749" t="s">
        <v>335</v>
      </c>
      <c r="B24" s="743">
        <v>1356</v>
      </c>
      <c r="C24" s="743">
        <v>13953</v>
      </c>
      <c r="D24" s="743">
        <v>19379</v>
      </c>
      <c r="E24" s="743">
        <v>19379</v>
      </c>
      <c r="F24" s="743">
        <v>19379</v>
      </c>
      <c r="G24" s="743">
        <v>21452</v>
      </c>
      <c r="H24" s="743">
        <v>21452</v>
      </c>
      <c r="I24" s="743">
        <v>18758</v>
      </c>
      <c r="J24" s="743">
        <v>18758</v>
      </c>
      <c r="K24" s="743">
        <f>13953+8509</f>
        <v>22462</v>
      </c>
      <c r="L24" s="743">
        <f>13953+12000</f>
        <v>25953</v>
      </c>
      <c r="M24" s="745">
        <f>32523-8509-12000</f>
        <v>12014</v>
      </c>
      <c r="N24" s="747">
        <v>214295</v>
      </c>
      <c r="O24" s="748"/>
    </row>
    <row r="25" spans="1:15" ht="12.75">
      <c r="A25" s="742" t="s">
        <v>336</v>
      </c>
      <c r="B25" s="743"/>
      <c r="C25" s="743"/>
      <c r="D25" s="743"/>
      <c r="E25" s="743">
        <v>196000</v>
      </c>
      <c r="F25" s="743"/>
      <c r="G25" s="743"/>
      <c r="H25" s="743"/>
      <c r="I25" s="743"/>
      <c r="J25" s="743"/>
      <c r="K25" s="743"/>
      <c r="L25" s="743"/>
      <c r="M25" s="745"/>
      <c r="N25" s="747">
        <f>SUM(B25:M25)</f>
        <v>196000</v>
      </c>
      <c r="O25" s="748"/>
    </row>
    <row r="26" spans="1:15" ht="12.75">
      <c r="A26" s="742" t="s">
        <v>337</v>
      </c>
      <c r="B26" s="743">
        <v>2300</v>
      </c>
      <c r="C26" s="743">
        <v>2300</v>
      </c>
      <c r="D26" s="743">
        <v>2300</v>
      </c>
      <c r="E26" s="743">
        <v>2500</v>
      </c>
      <c r="F26" s="743">
        <v>2500</v>
      </c>
      <c r="G26" s="743">
        <v>2500</v>
      </c>
      <c r="H26" s="743">
        <v>2300</v>
      </c>
      <c r="I26" s="743">
        <v>2300</v>
      </c>
      <c r="J26" s="743">
        <v>2500</v>
      </c>
      <c r="K26" s="743">
        <v>2000</v>
      </c>
      <c r="L26" s="743">
        <v>2000</v>
      </c>
      <c r="M26" s="745">
        <v>2500</v>
      </c>
      <c r="N26" s="747">
        <f>SUM(B26:M26)</f>
        <v>28000</v>
      </c>
      <c r="O26" s="748"/>
    </row>
    <row r="27" spans="1:15" ht="12.75">
      <c r="A27" s="742" t="s">
        <v>338</v>
      </c>
      <c r="B27" s="743">
        <v>210</v>
      </c>
      <c r="C27" s="743">
        <v>210</v>
      </c>
      <c r="D27" s="743">
        <f>10210+7500</f>
        <v>17710</v>
      </c>
      <c r="E27" s="743">
        <v>7210</v>
      </c>
      <c r="F27" s="743">
        <v>7210</v>
      </c>
      <c r="G27" s="743">
        <v>8210</v>
      </c>
      <c r="H27" s="743">
        <v>5143</v>
      </c>
      <c r="I27" s="743">
        <v>710</v>
      </c>
      <c r="J27" s="743">
        <v>5210</v>
      </c>
      <c r="K27" s="743">
        <v>2810</v>
      </c>
      <c r="L27" s="743">
        <v>24515</v>
      </c>
      <c r="M27" s="745">
        <f>36485-7500</f>
        <v>28985</v>
      </c>
      <c r="N27" s="747">
        <v>108133</v>
      </c>
      <c r="O27" s="748"/>
    </row>
    <row r="28" spans="1:15" ht="12.75">
      <c r="A28" s="742" t="s">
        <v>339</v>
      </c>
      <c r="B28" s="743"/>
      <c r="C28" s="743"/>
      <c r="D28" s="743"/>
      <c r="E28" s="743"/>
      <c r="F28" s="743"/>
      <c r="G28" s="743"/>
      <c r="H28" s="743"/>
      <c r="I28" s="743"/>
      <c r="J28" s="743">
        <v>1000000</v>
      </c>
      <c r="K28" s="743"/>
      <c r="L28" s="743"/>
      <c r="M28" s="745"/>
      <c r="N28" s="747">
        <f>SUM(B28:M28)</f>
        <v>1000000</v>
      </c>
      <c r="O28" s="748"/>
    </row>
    <row r="29" spans="1:15" ht="12.75">
      <c r="A29" s="742" t="s">
        <v>648</v>
      </c>
      <c r="B29" s="743">
        <v>120390</v>
      </c>
      <c r="C29" s="743">
        <v>228730</v>
      </c>
      <c r="D29" s="743"/>
      <c r="E29" s="743"/>
      <c r="F29" s="743">
        <v>252812</v>
      </c>
      <c r="G29" s="743"/>
      <c r="H29" s="743"/>
      <c r="I29" s="743"/>
      <c r="J29" s="743"/>
      <c r="K29" s="743"/>
      <c r="L29" s="743"/>
      <c r="M29" s="745"/>
      <c r="N29" s="747">
        <f>SUM(B29:M29)</f>
        <v>601932</v>
      </c>
      <c r="O29" s="748"/>
    </row>
    <row r="30" spans="1:15" ht="12.75">
      <c r="A30" s="750" t="s">
        <v>340</v>
      </c>
      <c r="B30" s="751">
        <f aca="true" t="shared" si="2" ref="B30:N30">SUM(B10:B29)</f>
        <v>421865</v>
      </c>
      <c r="C30" s="751">
        <f t="shared" si="2"/>
        <v>573294</v>
      </c>
      <c r="D30" s="751">
        <f t="shared" si="2"/>
        <v>1009539</v>
      </c>
      <c r="E30" s="751">
        <f t="shared" si="2"/>
        <v>593512</v>
      </c>
      <c r="F30" s="751">
        <f t="shared" si="2"/>
        <v>623298</v>
      </c>
      <c r="G30" s="751">
        <f t="shared" si="2"/>
        <v>433417</v>
      </c>
      <c r="H30" s="751">
        <f t="shared" si="2"/>
        <v>397943</v>
      </c>
      <c r="I30" s="751">
        <f t="shared" si="2"/>
        <v>376845</v>
      </c>
      <c r="J30" s="751">
        <f t="shared" si="2"/>
        <v>1950765</v>
      </c>
      <c r="K30" s="751">
        <f t="shared" si="2"/>
        <v>350957</v>
      </c>
      <c r="L30" s="751">
        <f t="shared" si="2"/>
        <v>373717</v>
      </c>
      <c r="M30" s="751">
        <f t="shared" si="2"/>
        <v>562573</v>
      </c>
      <c r="N30" s="747">
        <f t="shared" si="2"/>
        <v>7667725</v>
      </c>
      <c r="O30" s="748"/>
    </row>
    <row r="31" spans="1:15" ht="12.75">
      <c r="A31" s="752" t="s">
        <v>341</v>
      </c>
      <c r="B31" s="751"/>
      <c r="C31" s="751"/>
      <c r="D31" s="751"/>
      <c r="E31" s="751"/>
      <c r="F31" s="751"/>
      <c r="G31" s="751"/>
      <c r="H31" s="743"/>
      <c r="I31" s="743"/>
      <c r="J31" s="751"/>
      <c r="K31" s="751"/>
      <c r="L31" s="751"/>
      <c r="M31" s="753"/>
      <c r="N31" s="747"/>
      <c r="O31" s="748"/>
    </row>
    <row r="32" spans="1:15" ht="12.75">
      <c r="A32" s="750" t="s">
        <v>342</v>
      </c>
      <c r="B32" s="751">
        <f aca="true" t="shared" si="3" ref="B32:N32">SUM(B30:B31)</f>
        <v>421865</v>
      </c>
      <c r="C32" s="751">
        <f t="shared" si="3"/>
        <v>573294</v>
      </c>
      <c r="D32" s="751">
        <f t="shared" si="3"/>
        <v>1009539</v>
      </c>
      <c r="E32" s="751">
        <f t="shared" si="3"/>
        <v>593512</v>
      </c>
      <c r="F32" s="751">
        <f t="shared" si="3"/>
        <v>623298</v>
      </c>
      <c r="G32" s="751">
        <f t="shared" si="3"/>
        <v>433417</v>
      </c>
      <c r="H32" s="751">
        <f t="shared" si="3"/>
        <v>397943</v>
      </c>
      <c r="I32" s="751">
        <f t="shared" si="3"/>
        <v>376845</v>
      </c>
      <c r="J32" s="751">
        <f t="shared" si="3"/>
        <v>1950765</v>
      </c>
      <c r="K32" s="751">
        <f t="shared" si="3"/>
        <v>350957</v>
      </c>
      <c r="L32" s="751">
        <f t="shared" si="3"/>
        <v>373717</v>
      </c>
      <c r="M32" s="751">
        <f t="shared" si="3"/>
        <v>562573</v>
      </c>
      <c r="N32" s="747">
        <f t="shared" si="3"/>
        <v>7667725</v>
      </c>
      <c r="O32" s="748"/>
    </row>
    <row r="33" spans="1:15" ht="12.75">
      <c r="A33" s="742"/>
      <c r="B33" s="743"/>
      <c r="C33" s="743"/>
      <c r="D33" s="743"/>
      <c r="E33" s="743"/>
      <c r="F33" s="743"/>
      <c r="G33" s="743"/>
      <c r="H33" s="743"/>
      <c r="I33" s="743"/>
      <c r="J33" s="743"/>
      <c r="K33" s="743"/>
      <c r="L33" s="743"/>
      <c r="M33" s="745"/>
      <c r="N33" s="747"/>
      <c r="O33" s="748"/>
    </row>
    <row r="34" spans="1:15" ht="12.75">
      <c r="A34" s="754" t="s">
        <v>343</v>
      </c>
      <c r="B34" s="743"/>
      <c r="C34" s="743"/>
      <c r="D34" s="743"/>
      <c r="E34" s="743"/>
      <c r="F34" s="743"/>
      <c r="G34" s="743"/>
      <c r="H34" s="743"/>
      <c r="I34" s="743"/>
      <c r="J34" s="743"/>
      <c r="K34" s="743"/>
      <c r="L34" s="743"/>
      <c r="M34" s="745"/>
      <c r="N34" s="747"/>
      <c r="O34" s="748"/>
    </row>
    <row r="35" spans="1:15" ht="12.75">
      <c r="A35" s="742" t="s">
        <v>531</v>
      </c>
      <c r="B35" s="743">
        <v>143583</v>
      </c>
      <c r="C35" s="743">
        <v>126278</v>
      </c>
      <c r="D35" s="743">
        <v>130903</v>
      </c>
      <c r="E35" s="743">
        <v>131246</v>
      </c>
      <c r="F35" s="743">
        <f>143583+37899</f>
        <v>181482</v>
      </c>
      <c r="G35" s="743">
        <v>168598</v>
      </c>
      <c r="H35" s="743">
        <v>143583</v>
      </c>
      <c r="I35" s="743">
        <v>138785</v>
      </c>
      <c r="J35" s="743">
        <v>138785</v>
      </c>
      <c r="K35" s="743">
        <v>138785</v>
      </c>
      <c r="L35" s="743">
        <v>138785</v>
      </c>
      <c r="M35" s="745">
        <f>208384-37899+6000</f>
        <v>176485</v>
      </c>
      <c r="N35" s="747">
        <v>1757298</v>
      </c>
      <c r="O35" s="748"/>
    </row>
    <row r="36" spans="1:15" ht="12.75">
      <c r="A36" s="742" t="s">
        <v>344</v>
      </c>
      <c r="B36" s="743">
        <v>39564</v>
      </c>
      <c r="C36" s="743">
        <v>34796</v>
      </c>
      <c r="D36" s="743">
        <v>36070</v>
      </c>
      <c r="E36" s="743">
        <v>36165</v>
      </c>
      <c r="F36" s="743">
        <f>39564+10121</f>
        <v>49685</v>
      </c>
      <c r="G36" s="743">
        <v>46457</v>
      </c>
      <c r="H36" s="743">
        <v>39564</v>
      </c>
      <c r="I36" s="743">
        <v>38242</v>
      </c>
      <c r="J36" s="743">
        <v>38242</v>
      </c>
      <c r="K36" s="743">
        <v>38242</v>
      </c>
      <c r="L36" s="743">
        <v>38242</v>
      </c>
      <c r="M36" s="745">
        <f>57102-10121+3687</f>
        <v>50668</v>
      </c>
      <c r="N36" s="747">
        <v>485937</v>
      </c>
      <c r="O36" s="748"/>
    </row>
    <row r="37" spans="1:15" ht="12.75">
      <c r="A37" s="752" t="s">
        <v>533</v>
      </c>
      <c r="B37" s="743">
        <v>97198</v>
      </c>
      <c r="C37" s="743">
        <v>94272</v>
      </c>
      <c r="D37" s="743">
        <v>116028</v>
      </c>
      <c r="E37" s="743">
        <v>116028</v>
      </c>
      <c r="F37" s="743">
        <v>106486</v>
      </c>
      <c r="G37" s="743">
        <v>116028</v>
      </c>
      <c r="H37" s="743">
        <v>97198</v>
      </c>
      <c r="I37" s="743">
        <v>97198</v>
      </c>
      <c r="J37" s="743">
        <v>98979</v>
      </c>
      <c r="K37" s="743">
        <v>98979</v>
      </c>
      <c r="L37" s="743">
        <v>113229</v>
      </c>
      <c r="M37" s="745">
        <v>121267</v>
      </c>
      <c r="N37" s="747">
        <v>1272890</v>
      </c>
      <c r="O37" s="748"/>
    </row>
    <row r="38" spans="1:15" ht="25.5">
      <c r="A38" s="755" t="s">
        <v>357</v>
      </c>
      <c r="B38" s="743">
        <v>16290</v>
      </c>
      <c r="C38" s="743">
        <v>60189</v>
      </c>
      <c r="D38" s="743">
        <v>77911</v>
      </c>
      <c r="E38" s="743">
        <v>70407</v>
      </c>
      <c r="F38" s="743">
        <v>65279</v>
      </c>
      <c r="G38" s="743">
        <v>60339</v>
      </c>
      <c r="H38" s="743">
        <v>62840</v>
      </c>
      <c r="I38" s="743">
        <v>55337</v>
      </c>
      <c r="J38" s="743">
        <v>45331</v>
      </c>
      <c r="K38" s="743">
        <v>41829</v>
      </c>
      <c r="L38" s="743">
        <v>41829</v>
      </c>
      <c r="M38" s="745">
        <v>33146</v>
      </c>
      <c r="N38" s="747">
        <v>630727</v>
      </c>
      <c r="O38" s="748"/>
    </row>
    <row r="39" spans="1:15" ht="12.75">
      <c r="A39" s="752" t="s">
        <v>51</v>
      </c>
      <c r="B39" s="743">
        <v>11774</v>
      </c>
      <c r="C39" s="743">
        <v>11774</v>
      </c>
      <c r="D39" s="743">
        <v>11774</v>
      </c>
      <c r="E39" s="743">
        <v>11774</v>
      </c>
      <c r="F39" s="743">
        <v>11774</v>
      </c>
      <c r="G39" s="743">
        <v>11774</v>
      </c>
      <c r="H39" s="743">
        <v>11774</v>
      </c>
      <c r="I39" s="743">
        <v>16598</v>
      </c>
      <c r="J39" s="743">
        <v>11774</v>
      </c>
      <c r="K39" s="743">
        <v>11774</v>
      </c>
      <c r="L39" s="743">
        <v>11774</v>
      </c>
      <c r="M39" s="745">
        <v>18777</v>
      </c>
      <c r="N39" s="747">
        <f>SUM(B39:M39)</f>
        <v>153115</v>
      </c>
      <c r="O39" s="748"/>
    </row>
    <row r="40" spans="1:15" ht="12.75">
      <c r="A40" s="752" t="s">
        <v>345</v>
      </c>
      <c r="B40" s="743">
        <v>1020</v>
      </c>
      <c r="C40" s="743">
        <v>1020</v>
      </c>
      <c r="D40" s="743">
        <v>1020</v>
      </c>
      <c r="E40" s="743">
        <v>1020</v>
      </c>
      <c r="F40" s="743">
        <v>1020</v>
      </c>
      <c r="G40" s="743"/>
      <c r="H40" s="743"/>
      <c r="I40" s="743">
        <v>1020</v>
      </c>
      <c r="J40" s="743">
        <v>1020</v>
      </c>
      <c r="K40" s="743">
        <v>1020</v>
      </c>
      <c r="L40" s="743">
        <v>1020</v>
      </c>
      <c r="M40" s="745">
        <v>1020</v>
      </c>
      <c r="N40" s="747">
        <f>SUM(B40:M40)</f>
        <v>10200</v>
      </c>
      <c r="O40" s="748"/>
    </row>
    <row r="41" spans="1:15" ht="12.75">
      <c r="A41" s="752" t="s">
        <v>346</v>
      </c>
      <c r="B41" s="743">
        <v>45840</v>
      </c>
      <c r="C41" s="743">
        <v>69260</v>
      </c>
      <c r="D41" s="743">
        <v>92200</v>
      </c>
      <c r="E41" s="743">
        <v>92200</v>
      </c>
      <c r="F41" s="743">
        <v>230400</v>
      </c>
      <c r="G41" s="743">
        <v>461200</v>
      </c>
      <c r="H41" s="743">
        <v>461200</v>
      </c>
      <c r="I41" s="743">
        <v>346000</v>
      </c>
      <c r="J41" s="743">
        <v>576800</v>
      </c>
      <c r="K41" s="743">
        <v>115350</v>
      </c>
      <c r="L41" s="743">
        <v>11340</v>
      </c>
      <c r="M41" s="745">
        <v>16854</v>
      </c>
      <c r="N41" s="747">
        <f>SUM(B41:M41)</f>
        <v>2518644</v>
      </c>
      <c r="O41" s="748"/>
    </row>
    <row r="42" spans="1:15" ht="12.75">
      <c r="A42" s="752" t="s">
        <v>347</v>
      </c>
      <c r="B42" s="743">
        <v>2600</v>
      </c>
      <c r="C42" s="743">
        <v>2600</v>
      </c>
      <c r="D42" s="743">
        <v>5200</v>
      </c>
      <c r="E42" s="743">
        <v>9400</v>
      </c>
      <c r="F42" s="743">
        <v>15500</v>
      </c>
      <c r="G42" s="743">
        <v>10500</v>
      </c>
      <c r="H42" s="743">
        <v>26000</v>
      </c>
      <c r="I42" s="743">
        <v>20500</v>
      </c>
      <c r="J42" s="743">
        <v>15500</v>
      </c>
      <c r="K42" s="743">
        <v>5300</v>
      </c>
      <c r="L42" s="743">
        <v>4496</v>
      </c>
      <c r="M42" s="745">
        <v>200</v>
      </c>
      <c r="N42" s="747">
        <v>117796</v>
      </c>
      <c r="O42" s="748"/>
    </row>
    <row r="43" spans="1:15" ht="12.75">
      <c r="A43" s="742" t="s">
        <v>348</v>
      </c>
      <c r="B43" s="743">
        <v>3089</v>
      </c>
      <c r="C43" s="743">
        <v>89</v>
      </c>
      <c r="D43" s="743">
        <v>4514</v>
      </c>
      <c r="E43" s="743">
        <v>89</v>
      </c>
      <c r="F43" s="743">
        <v>89</v>
      </c>
      <c r="G43" s="743">
        <v>3089</v>
      </c>
      <c r="H43" s="743">
        <v>89</v>
      </c>
      <c r="I43" s="743">
        <v>89</v>
      </c>
      <c r="J43" s="743">
        <v>4514</v>
      </c>
      <c r="K43" s="743">
        <v>89</v>
      </c>
      <c r="L43" s="743">
        <v>1549</v>
      </c>
      <c r="M43" s="745">
        <v>3088</v>
      </c>
      <c r="N43" s="747">
        <f>SUM(B43:M43)</f>
        <v>20377</v>
      </c>
      <c r="O43" s="748"/>
    </row>
    <row r="44" spans="1:15" ht="12.75">
      <c r="A44" s="742" t="s">
        <v>349</v>
      </c>
      <c r="B44" s="756"/>
      <c r="C44" s="756"/>
      <c r="D44" s="756"/>
      <c r="E44" s="756"/>
      <c r="F44" s="756">
        <v>40200</v>
      </c>
      <c r="G44" s="756"/>
      <c r="H44" s="756"/>
      <c r="I44" s="756"/>
      <c r="J44" s="756"/>
      <c r="K44" s="756">
        <v>33000</v>
      </c>
      <c r="L44" s="756"/>
      <c r="M44" s="757">
        <f>467758-6000-3687</f>
        <v>458071</v>
      </c>
      <c r="N44" s="747">
        <v>531271</v>
      </c>
      <c r="O44" s="748"/>
    </row>
    <row r="45" spans="1:15" ht="12.75">
      <c r="A45" s="758" t="s">
        <v>350</v>
      </c>
      <c r="B45" s="756">
        <v>2000</v>
      </c>
      <c r="C45" s="756"/>
      <c r="D45" s="756">
        <f>10500+7500</f>
        <v>18000</v>
      </c>
      <c r="E45" s="756">
        <v>20000</v>
      </c>
      <c r="F45" s="756">
        <v>6000</v>
      </c>
      <c r="G45" s="756">
        <v>10000</v>
      </c>
      <c r="H45" s="756">
        <v>4933</v>
      </c>
      <c r="I45" s="756">
        <v>15000</v>
      </c>
      <c r="J45" s="756">
        <v>8000</v>
      </c>
      <c r="K45" s="756">
        <v>2100</v>
      </c>
      <c r="L45" s="756">
        <v>500</v>
      </c>
      <c r="M45" s="757">
        <f>24300-7500</f>
        <v>16800</v>
      </c>
      <c r="N45" s="747">
        <v>103333</v>
      </c>
      <c r="O45" s="748"/>
    </row>
    <row r="46" spans="1:15" ht="12.75">
      <c r="A46" s="758" t="s">
        <v>351</v>
      </c>
      <c r="B46" s="756">
        <v>175</v>
      </c>
      <c r="C46" s="756">
        <v>175</v>
      </c>
      <c r="D46" s="756">
        <v>175</v>
      </c>
      <c r="E46" s="756">
        <v>175</v>
      </c>
      <c r="F46" s="756">
        <v>31211</v>
      </c>
      <c r="G46" s="756">
        <v>175</v>
      </c>
      <c r="H46" s="756">
        <v>175</v>
      </c>
      <c r="I46" s="756">
        <v>175</v>
      </c>
      <c r="J46" s="756">
        <v>175</v>
      </c>
      <c r="K46" s="756">
        <v>175</v>
      </c>
      <c r="L46" s="756">
        <v>31211</v>
      </c>
      <c r="M46" s="757">
        <v>177</v>
      </c>
      <c r="N46" s="747">
        <f>SUM(B46:M46)</f>
        <v>64174</v>
      </c>
      <c r="O46" s="748"/>
    </row>
    <row r="47" spans="1:15" ht="12.75">
      <c r="A47" s="742" t="s">
        <v>352</v>
      </c>
      <c r="B47" s="756"/>
      <c r="C47" s="756"/>
      <c r="D47" s="756"/>
      <c r="E47" s="756">
        <v>615</v>
      </c>
      <c r="F47" s="756"/>
      <c r="G47" s="756"/>
      <c r="H47" s="756"/>
      <c r="I47" s="756"/>
      <c r="J47" s="756"/>
      <c r="K47" s="756">
        <v>615</v>
      </c>
      <c r="L47" s="756"/>
      <c r="M47" s="757">
        <v>733</v>
      </c>
      <c r="N47" s="747">
        <f>SUM(B47:M47)</f>
        <v>1963</v>
      </c>
      <c r="O47" s="748"/>
    </row>
    <row r="48" spans="1:15" ht="12.75">
      <c r="A48" s="754" t="s">
        <v>353</v>
      </c>
      <c r="B48" s="751">
        <f aca="true" t="shared" si="4" ref="B48:M48">SUM(B35:B47)</f>
        <v>363133</v>
      </c>
      <c r="C48" s="751">
        <f t="shared" si="4"/>
        <v>400453</v>
      </c>
      <c r="D48" s="751">
        <f t="shared" si="4"/>
        <v>493795</v>
      </c>
      <c r="E48" s="751">
        <f t="shared" si="4"/>
        <v>489119</v>
      </c>
      <c r="F48" s="751">
        <f t="shared" si="4"/>
        <v>739126</v>
      </c>
      <c r="G48" s="751">
        <f t="shared" si="4"/>
        <v>888160</v>
      </c>
      <c r="H48" s="751">
        <f t="shared" si="4"/>
        <v>847356</v>
      </c>
      <c r="I48" s="751">
        <f t="shared" si="4"/>
        <v>728944</v>
      </c>
      <c r="J48" s="751">
        <f t="shared" si="4"/>
        <v>939120</v>
      </c>
      <c r="K48" s="751">
        <f t="shared" si="4"/>
        <v>487258</v>
      </c>
      <c r="L48" s="751">
        <f t="shared" si="4"/>
        <v>393975</v>
      </c>
      <c r="M48" s="751">
        <f t="shared" si="4"/>
        <v>897286</v>
      </c>
      <c r="N48" s="747">
        <f>SUM(N35:N47)</f>
        <v>7667725</v>
      </c>
      <c r="O48" s="748"/>
    </row>
    <row r="49" spans="1:15" ht="12.75">
      <c r="A49" s="759" t="s">
        <v>354</v>
      </c>
      <c r="B49" s="756"/>
      <c r="C49" s="756"/>
      <c r="D49" s="756"/>
      <c r="E49" s="756"/>
      <c r="F49" s="756"/>
      <c r="G49" s="756"/>
      <c r="H49" s="756"/>
      <c r="I49" s="756"/>
      <c r="J49" s="756"/>
      <c r="K49" s="756"/>
      <c r="L49" s="756"/>
      <c r="M49" s="756"/>
      <c r="N49" s="747"/>
      <c r="O49" s="748"/>
    </row>
    <row r="50" spans="1:15" ht="12.75">
      <c r="A50" s="760" t="s">
        <v>355</v>
      </c>
      <c r="B50" s="761">
        <f aca="true" t="shared" si="5" ref="B50:N50">SUM(B48:B49)</f>
        <v>363133</v>
      </c>
      <c r="C50" s="761">
        <f t="shared" si="5"/>
        <v>400453</v>
      </c>
      <c r="D50" s="761">
        <f t="shared" si="5"/>
        <v>493795</v>
      </c>
      <c r="E50" s="761">
        <f t="shared" si="5"/>
        <v>489119</v>
      </c>
      <c r="F50" s="761">
        <f t="shared" si="5"/>
        <v>739126</v>
      </c>
      <c r="G50" s="761">
        <f t="shared" si="5"/>
        <v>888160</v>
      </c>
      <c r="H50" s="761">
        <f t="shared" si="5"/>
        <v>847356</v>
      </c>
      <c r="I50" s="761">
        <f t="shared" si="5"/>
        <v>728944</v>
      </c>
      <c r="J50" s="761">
        <f t="shared" si="5"/>
        <v>939120</v>
      </c>
      <c r="K50" s="761">
        <f t="shared" si="5"/>
        <v>487258</v>
      </c>
      <c r="L50" s="761">
        <f t="shared" si="5"/>
        <v>393975</v>
      </c>
      <c r="M50" s="761">
        <f t="shared" si="5"/>
        <v>897286</v>
      </c>
      <c r="N50" s="765">
        <f t="shared" si="5"/>
        <v>7667725</v>
      </c>
      <c r="O50" s="748"/>
    </row>
    <row r="51" spans="1:15" ht="14.25" thickBot="1">
      <c r="A51" s="762" t="s">
        <v>356</v>
      </c>
      <c r="B51" s="763">
        <f aca="true" t="shared" si="6" ref="B51:N51">B9+B32-B50</f>
        <v>824723</v>
      </c>
      <c r="C51" s="763">
        <f t="shared" si="6"/>
        <v>997564</v>
      </c>
      <c r="D51" s="763">
        <f t="shared" si="6"/>
        <v>1513308</v>
      </c>
      <c r="E51" s="763">
        <f t="shared" si="6"/>
        <v>1617701</v>
      </c>
      <c r="F51" s="763">
        <f t="shared" si="6"/>
        <v>1501873</v>
      </c>
      <c r="G51" s="763">
        <f t="shared" si="6"/>
        <v>1047130</v>
      </c>
      <c r="H51" s="763">
        <f t="shared" si="6"/>
        <v>597717</v>
      </c>
      <c r="I51" s="763">
        <f t="shared" si="6"/>
        <v>245618</v>
      </c>
      <c r="J51" s="763">
        <f t="shared" si="6"/>
        <v>1257263</v>
      </c>
      <c r="K51" s="763">
        <f t="shared" si="6"/>
        <v>1120962</v>
      </c>
      <c r="L51" s="763">
        <f t="shared" si="6"/>
        <v>1100704</v>
      </c>
      <c r="M51" s="763">
        <f>M9+M32-M50</f>
        <v>765991</v>
      </c>
      <c r="N51" s="766">
        <f t="shared" si="6"/>
        <v>0</v>
      </c>
      <c r="O51" s="748"/>
    </row>
    <row r="52" spans="1:15" ht="13.5" thickTop="1">
      <c r="A52" s="733"/>
      <c r="B52" s="733"/>
      <c r="C52" s="733"/>
      <c r="D52" s="733"/>
      <c r="E52" s="733"/>
      <c r="F52" s="733"/>
      <c r="G52" s="733"/>
      <c r="H52" s="733"/>
      <c r="I52" s="733"/>
      <c r="J52" s="733"/>
      <c r="K52" s="733"/>
      <c r="L52" s="733"/>
      <c r="M52" s="733"/>
      <c r="N52" s="764"/>
      <c r="O52" s="733"/>
    </row>
  </sheetData>
  <mergeCells count="3">
    <mergeCell ref="A3:N3"/>
    <mergeCell ref="A4:N4"/>
    <mergeCell ref="A6:N6"/>
  </mergeCells>
  <printOptions/>
  <pageMargins left="0.2" right="0.19" top="0.29" bottom="0.27" header="0.2" footer="0.18"/>
  <pageSetup horizontalDpi="600" verticalDpi="600" orientation="landscape" paperSize="9" scale="80" r:id="rId1"/>
  <headerFooter alignWithMargins="0">
    <oddHeader>&amp;L&amp;8 14. melléklet a 2/2011.(II.25.) önkormányzati rendelethez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Z105"/>
  <sheetViews>
    <sheetView workbookViewId="0" topLeftCell="A1">
      <selection activeCell="A6" sqref="A6"/>
    </sheetView>
  </sheetViews>
  <sheetFormatPr defaultColWidth="9.00390625" defaultRowHeight="12.75"/>
  <cols>
    <col min="1" max="1" width="56.375" style="271" customWidth="1"/>
    <col min="2" max="3" width="12.00390625" style="271" customWidth="1"/>
    <col min="4" max="4" width="15.25390625" style="303" customWidth="1"/>
    <col min="5" max="6" width="12.00390625" style="271" customWidth="1"/>
    <col min="7" max="7" width="15.25390625" style="304" customWidth="1"/>
    <col min="8" max="9" width="9.125" style="309" customWidth="1"/>
    <col min="10" max="10" width="12.625" style="310" customWidth="1"/>
    <col min="11" max="11" width="12.00390625" style="271" customWidth="1"/>
    <col min="12" max="12" width="11.75390625" style="271" customWidth="1"/>
    <col min="13" max="16384" width="9.125" style="271" customWidth="1"/>
  </cols>
  <sheetData>
    <row r="1" spans="1:12" ht="12.75">
      <c r="A1" s="850" t="s">
        <v>764</v>
      </c>
      <c r="B1" s="967"/>
      <c r="C1" s="967"/>
      <c r="D1" s="967"/>
      <c r="E1" s="967"/>
      <c r="F1" s="967"/>
      <c r="G1" s="967"/>
      <c r="H1" s="967"/>
      <c r="I1" s="967"/>
      <c r="J1" s="967"/>
      <c r="K1" s="967"/>
      <c r="L1" s="967"/>
    </row>
    <row r="2" ht="12.75" thickBot="1"/>
    <row r="3" spans="1:12" ht="12.75" customHeight="1" thickTop="1">
      <c r="A3" s="311" t="s">
        <v>765</v>
      </c>
      <c r="B3" s="968" t="s">
        <v>766</v>
      </c>
      <c r="C3" s="969"/>
      <c r="D3" s="970"/>
      <c r="E3" s="968" t="s">
        <v>767</v>
      </c>
      <c r="F3" s="969"/>
      <c r="G3" s="969"/>
      <c r="H3" s="968" t="s">
        <v>768</v>
      </c>
      <c r="I3" s="971"/>
      <c r="J3" s="971"/>
      <c r="K3" s="968" t="s">
        <v>769</v>
      </c>
      <c r="L3" s="972"/>
    </row>
    <row r="4" spans="1:12" ht="12" customHeight="1">
      <c r="A4" s="312"/>
      <c r="B4" s="313" t="s">
        <v>770</v>
      </c>
      <c r="C4" s="313" t="s">
        <v>771</v>
      </c>
      <c r="D4" s="314" t="s">
        <v>772</v>
      </c>
      <c r="E4" s="313" t="s">
        <v>770</v>
      </c>
      <c r="F4" s="313" t="s">
        <v>771</v>
      </c>
      <c r="G4" s="315" t="s">
        <v>772</v>
      </c>
      <c r="H4" s="316" t="s">
        <v>770</v>
      </c>
      <c r="I4" s="316" t="s">
        <v>771</v>
      </c>
      <c r="J4" s="317" t="s">
        <v>772</v>
      </c>
      <c r="K4" s="318" t="s">
        <v>773</v>
      </c>
      <c r="L4" s="319" t="s">
        <v>774</v>
      </c>
    </row>
    <row r="5" spans="1:12" ht="12">
      <c r="A5" s="320" t="s">
        <v>775</v>
      </c>
      <c r="B5" s="313"/>
      <c r="C5" s="313"/>
      <c r="D5" s="321"/>
      <c r="E5" s="313"/>
      <c r="F5" s="313"/>
      <c r="G5" s="315"/>
      <c r="H5" s="322"/>
      <c r="I5" s="322"/>
      <c r="J5" s="323"/>
      <c r="K5" s="324"/>
      <c r="L5" s="325"/>
    </row>
    <row r="6" spans="1:12" ht="12">
      <c r="A6" s="326" t="s">
        <v>52</v>
      </c>
      <c r="B6" s="327">
        <v>23945</v>
      </c>
      <c r="C6" s="327">
        <v>1057</v>
      </c>
      <c r="D6" s="328">
        <v>25309865</v>
      </c>
      <c r="E6" s="327">
        <v>0</v>
      </c>
      <c r="F6" s="327">
        <v>0</v>
      </c>
      <c r="G6" s="329">
        <v>0</v>
      </c>
      <c r="H6" s="322">
        <v>0</v>
      </c>
      <c r="I6" s="322">
        <v>0</v>
      </c>
      <c r="J6" s="317">
        <v>0</v>
      </c>
      <c r="K6" s="330">
        <f>J6-D6</f>
        <v>-25309865</v>
      </c>
      <c r="L6" s="331">
        <f>J6-G6</f>
        <v>0</v>
      </c>
    </row>
    <row r="7" spans="1:12" ht="12">
      <c r="A7" s="326" t="s">
        <v>776</v>
      </c>
      <c r="B7" s="327">
        <v>23945</v>
      </c>
      <c r="C7" s="327">
        <v>515</v>
      </c>
      <c r="D7" s="328">
        <v>12331675</v>
      </c>
      <c r="E7" s="327">
        <v>0</v>
      </c>
      <c r="F7" s="327">
        <v>0</v>
      </c>
      <c r="G7" s="328">
        <v>0</v>
      </c>
      <c r="H7" s="322">
        <v>0</v>
      </c>
      <c r="I7" s="322">
        <v>0</v>
      </c>
      <c r="J7" s="317">
        <v>0</v>
      </c>
      <c r="K7" s="330">
        <f aca="true" t="shared" si="0" ref="K7:K70">J7-D7</f>
        <v>-12331675</v>
      </c>
      <c r="L7" s="331">
        <f aca="true" t="shared" si="1" ref="L7:L70">J7-G7</f>
        <v>0</v>
      </c>
    </row>
    <row r="8" spans="1:12" ht="12">
      <c r="A8" s="326" t="s">
        <v>777</v>
      </c>
      <c r="B8" s="327">
        <v>23945</v>
      </c>
      <c r="C8" s="327">
        <v>500</v>
      </c>
      <c r="D8" s="328">
        <f>B8*C8</f>
        <v>11972500</v>
      </c>
      <c r="E8" s="327">
        <v>0</v>
      </c>
      <c r="F8" s="327">
        <v>0</v>
      </c>
      <c r="G8" s="328">
        <v>0</v>
      </c>
      <c r="H8" s="322">
        <v>0</v>
      </c>
      <c r="I8" s="322">
        <v>0</v>
      </c>
      <c r="J8" s="317">
        <v>0</v>
      </c>
      <c r="K8" s="330">
        <f t="shared" si="0"/>
        <v>-11972500</v>
      </c>
      <c r="L8" s="331">
        <f t="shared" si="1"/>
        <v>0</v>
      </c>
    </row>
    <row r="9" spans="1:12" ht="12">
      <c r="A9" s="326" t="s">
        <v>778</v>
      </c>
      <c r="B9" s="327">
        <v>23945</v>
      </c>
      <c r="C9" s="327">
        <v>1061</v>
      </c>
      <c r="D9" s="328">
        <v>25405645</v>
      </c>
      <c r="E9" s="327">
        <v>0</v>
      </c>
      <c r="F9" s="327">
        <v>0</v>
      </c>
      <c r="G9" s="328">
        <v>0</v>
      </c>
      <c r="H9" s="322">
        <v>0</v>
      </c>
      <c r="I9" s="322">
        <v>0</v>
      </c>
      <c r="J9" s="317">
        <v>0</v>
      </c>
      <c r="K9" s="330">
        <f t="shared" si="0"/>
        <v>-25405645</v>
      </c>
      <c r="L9" s="331">
        <f t="shared" si="1"/>
        <v>0</v>
      </c>
    </row>
    <row r="10" spans="1:12" ht="12">
      <c r="A10" s="326" t="s">
        <v>779</v>
      </c>
      <c r="B10" s="327">
        <v>0</v>
      </c>
      <c r="C10" s="327">
        <v>0</v>
      </c>
      <c r="D10" s="328">
        <v>0</v>
      </c>
      <c r="E10" s="327">
        <v>23922</v>
      </c>
      <c r="F10" s="327">
        <v>1947</v>
      </c>
      <c r="G10" s="329">
        <f>E10*F10</f>
        <v>46576134</v>
      </c>
      <c r="H10" s="322">
        <v>23831</v>
      </c>
      <c r="I10" s="322">
        <v>2769</v>
      </c>
      <c r="J10" s="317">
        <f>H10*I10</f>
        <v>65988039</v>
      </c>
      <c r="K10" s="330">
        <f t="shared" si="0"/>
        <v>65988039</v>
      </c>
      <c r="L10" s="331">
        <f t="shared" si="1"/>
        <v>19411905</v>
      </c>
    </row>
    <row r="11" spans="1:12" ht="12">
      <c r="A11" s="326" t="s">
        <v>780</v>
      </c>
      <c r="B11" s="327">
        <v>596</v>
      </c>
      <c r="C11" s="327">
        <v>3088</v>
      </c>
      <c r="D11" s="328">
        <v>1840448</v>
      </c>
      <c r="E11" s="327">
        <v>618</v>
      </c>
      <c r="F11" s="332">
        <v>2612</v>
      </c>
      <c r="G11" s="329">
        <f>E11*F11</f>
        <v>1614216</v>
      </c>
      <c r="H11" s="322">
        <v>641</v>
      </c>
      <c r="I11" s="322">
        <v>2612</v>
      </c>
      <c r="J11" s="317">
        <f>H11*I11</f>
        <v>1674292</v>
      </c>
      <c r="K11" s="330">
        <f t="shared" si="0"/>
        <v>-166156</v>
      </c>
      <c r="L11" s="331">
        <f t="shared" si="1"/>
        <v>60076</v>
      </c>
    </row>
    <row r="12" spans="1:12" ht="12">
      <c r="A12" s="326" t="s">
        <v>781</v>
      </c>
      <c r="B12" s="327"/>
      <c r="C12" s="327"/>
      <c r="D12" s="328">
        <v>40202745</v>
      </c>
      <c r="E12" s="327"/>
      <c r="F12" s="327"/>
      <c r="G12" s="329">
        <v>35000000</v>
      </c>
      <c r="H12" s="322"/>
      <c r="I12" s="322"/>
      <c r="J12" s="333">
        <v>33274461</v>
      </c>
      <c r="K12" s="330">
        <f t="shared" si="0"/>
        <v>-6928284</v>
      </c>
      <c r="L12" s="331">
        <f t="shared" si="1"/>
        <v>-1725539</v>
      </c>
    </row>
    <row r="13" spans="1:12" ht="12">
      <c r="A13" s="326" t="s">
        <v>782</v>
      </c>
      <c r="B13" s="327">
        <v>2</v>
      </c>
      <c r="C13" s="327">
        <v>15000000</v>
      </c>
      <c r="D13" s="328">
        <v>30000000</v>
      </c>
      <c r="E13" s="327">
        <v>15000000</v>
      </c>
      <c r="F13" s="327">
        <v>1</v>
      </c>
      <c r="G13" s="329">
        <v>15000000</v>
      </c>
      <c r="H13" s="322">
        <v>15000000</v>
      </c>
      <c r="I13" s="334">
        <v>1.5</v>
      </c>
      <c r="J13" s="317">
        <f>H13*I13</f>
        <v>22500000</v>
      </c>
      <c r="K13" s="330">
        <f t="shared" si="0"/>
        <v>-7500000</v>
      </c>
      <c r="L13" s="331">
        <f t="shared" si="1"/>
        <v>7500000</v>
      </c>
    </row>
    <row r="14" spans="1:12" s="341" customFormat="1" ht="13.5">
      <c r="A14" s="335" t="s">
        <v>783</v>
      </c>
      <c r="B14" s="336"/>
      <c r="C14" s="336"/>
      <c r="D14" s="337">
        <f>SUM(D6:D13)</f>
        <v>147062878</v>
      </c>
      <c r="E14" s="336"/>
      <c r="F14" s="336"/>
      <c r="G14" s="337">
        <f>SUM(G6:G13)</f>
        <v>98190350</v>
      </c>
      <c r="H14" s="338"/>
      <c r="I14" s="338"/>
      <c r="J14" s="339">
        <f>SUM(J6:J13)</f>
        <v>123436792</v>
      </c>
      <c r="K14" s="340">
        <f t="shared" si="0"/>
        <v>-23626086</v>
      </c>
      <c r="L14" s="137">
        <f t="shared" si="1"/>
        <v>25246442</v>
      </c>
    </row>
    <row r="15" spans="1:12" ht="12">
      <c r="A15" s="342"/>
      <c r="B15" s="327"/>
      <c r="C15" s="327"/>
      <c r="D15" s="343"/>
      <c r="E15" s="327"/>
      <c r="F15" s="327"/>
      <c r="G15" s="343"/>
      <c r="H15" s="322"/>
      <c r="I15" s="322"/>
      <c r="J15" s="323"/>
      <c r="K15" s="330"/>
      <c r="L15" s="331"/>
    </row>
    <row r="16" spans="1:12" ht="12">
      <c r="A16" s="326" t="s">
        <v>784</v>
      </c>
      <c r="B16" s="327"/>
      <c r="C16" s="327"/>
      <c r="D16" s="328">
        <v>113762695</v>
      </c>
      <c r="E16" s="327" t="s">
        <v>392</v>
      </c>
      <c r="F16" s="327"/>
      <c r="G16" s="328">
        <v>107000000</v>
      </c>
      <c r="H16" s="322"/>
      <c r="I16" s="322"/>
      <c r="J16" s="333">
        <v>115127561</v>
      </c>
      <c r="K16" s="330">
        <f t="shared" si="0"/>
        <v>1364866</v>
      </c>
      <c r="L16" s="331">
        <f t="shared" si="1"/>
        <v>8127561</v>
      </c>
    </row>
    <row r="17" spans="1:12" ht="12">
      <c r="A17" s="326" t="s">
        <v>785</v>
      </c>
      <c r="B17" s="327">
        <v>39429</v>
      </c>
      <c r="C17" s="327"/>
      <c r="D17" s="328">
        <v>31148910</v>
      </c>
      <c r="E17" s="327">
        <v>39524</v>
      </c>
      <c r="F17" s="327"/>
      <c r="G17" s="328">
        <v>31223960</v>
      </c>
      <c r="H17" s="322">
        <v>39439</v>
      </c>
      <c r="I17" s="322"/>
      <c r="J17" s="323">
        <v>31156810</v>
      </c>
      <c r="K17" s="330">
        <f t="shared" si="0"/>
        <v>7900</v>
      </c>
      <c r="L17" s="331">
        <f t="shared" si="1"/>
        <v>-67150</v>
      </c>
    </row>
    <row r="18" spans="1:12" ht="12">
      <c r="A18" s="326" t="s">
        <v>786</v>
      </c>
      <c r="B18" s="327">
        <v>0</v>
      </c>
      <c r="C18" s="327">
        <v>0</v>
      </c>
      <c r="D18" s="328">
        <v>0</v>
      </c>
      <c r="E18" s="327">
        <v>0</v>
      </c>
      <c r="F18" s="327">
        <v>0</v>
      </c>
      <c r="G18" s="328">
        <v>0</v>
      </c>
      <c r="H18" s="344">
        <v>120</v>
      </c>
      <c r="I18" s="344">
        <v>55360</v>
      </c>
      <c r="J18" s="345">
        <f>H18*I18</f>
        <v>6643200</v>
      </c>
      <c r="K18" s="330">
        <f t="shared" si="0"/>
        <v>6643200</v>
      </c>
      <c r="L18" s="331">
        <f t="shared" si="1"/>
        <v>6643200</v>
      </c>
    </row>
    <row r="19" spans="1:12" ht="12">
      <c r="A19" s="326" t="s">
        <v>53</v>
      </c>
      <c r="B19" s="327">
        <v>17</v>
      </c>
      <c r="C19" s="327">
        <v>91050</v>
      </c>
      <c r="D19" s="328">
        <v>1547850</v>
      </c>
      <c r="E19" s="327">
        <v>0</v>
      </c>
      <c r="F19" s="327">
        <v>0</v>
      </c>
      <c r="G19" s="328">
        <v>0</v>
      </c>
      <c r="H19" s="322">
        <v>0</v>
      </c>
      <c r="I19" s="322">
        <v>0</v>
      </c>
      <c r="J19" s="323">
        <v>0</v>
      </c>
      <c r="K19" s="330">
        <f t="shared" si="0"/>
        <v>-1547850</v>
      </c>
      <c r="L19" s="331">
        <f t="shared" si="1"/>
        <v>0</v>
      </c>
    </row>
    <row r="20" spans="1:12" ht="12">
      <c r="A20" s="326" t="s">
        <v>54</v>
      </c>
      <c r="B20" s="327">
        <v>99</v>
      </c>
      <c r="C20" s="327">
        <v>80700</v>
      </c>
      <c r="D20" s="328">
        <v>7989300</v>
      </c>
      <c r="E20" s="327">
        <v>0</v>
      </c>
      <c r="F20" s="327">
        <v>0</v>
      </c>
      <c r="G20" s="328">
        <v>0</v>
      </c>
      <c r="H20" s="322">
        <v>0</v>
      </c>
      <c r="I20" s="322">
        <v>0</v>
      </c>
      <c r="J20" s="323">
        <v>0</v>
      </c>
      <c r="K20" s="330">
        <f t="shared" si="0"/>
        <v>-7989300</v>
      </c>
      <c r="L20" s="331">
        <f t="shared" si="1"/>
        <v>0</v>
      </c>
    </row>
    <row r="21" spans="1:12" ht="12">
      <c r="A21" s="326" t="s">
        <v>787</v>
      </c>
      <c r="B21" s="327">
        <v>6</v>
      </c>
      <c r="C21" s="327">
        <v>64000</v>
      </c>
      <c r="D21" s="328">
        <v>384000</v>
      </c>
      <c r="E21" s="327">
        <v>0</v>
      </c>
      <c r="F21" s="327">
        <v>0</v>
      </c>
      <c r="G21" s="328">
        <v>0</v>
      </c>
      <c r="H21" s="322">
        <v>0</v>
      </c>
      <c r="I21" s="322">
        <v>0</v>
      </c>
      <c r="J21" s="323">
        <v>0</v>
      </c>
      <c r="K21" s="330">
        <f t="shared" si="0"/>
        <v>-384000</v>
      </c>
      <c r="L21" s="331">
        <f t="shared" si="1"/>
        <v>0</v>
      </c>
    </row>
    <row r="22" spans="1:12" ht="24">
      <c r="A22" s="346" t="s">
        <v>788</v>
      </c>
      <c r="B22" s="327">
        <v>0</v>
      </c>
      <c r="C22" s="327">
        <v>0</v>
      </c>
      <c r="D22" s="328">
        <v>0</v>
      </c>
      <c r="E22" s="327">
        <v>7</v>
      </c>
      <c r="F22" s="327">
        <v>221450</v>
      </c>
      <c r="G22" s="328">
        <f aca="true" t="shared" si="2" ref="G22:G38">E22*F22</f>
        <v>1550150</v>
      </c>
      <c r="H22" s="322">
        <v>0</v>
      </c>
      <c r="I22" s="322">
        <v>0</v>
      </c>
      <c r="J22" s="323">
        <v>0</v>
      </c>
      <c r="K22" s="330">
        <f t="shared" si="0"/>
        <v>0</v>
      </c>
      <c r="L22" s="331">
        <f t="shared" si="1"/>
        <v>-1550150</v>
      </c>
    </row>
    <row r="23" spans="1:12" ht="24">
      <c r="A23" s="346" t="s">
        <v>55</v>
      </c>
      <c r="B23" s="327">
        <v>0</v>
      </c>
      <c r="C23" s="327">
        <v>0</v>
      </c>
      <c r="D23" s="328">
        <v>0</v>
      </c>
      <c r="E23" s="327">
        <v>65</v>
      </c>
      <c r="F23" s="327">
        <v>143943</v>
      </c>
      <c r="G23" s="328">
        <f t="shared" si="2"/>
        <v>9356295</v>
      </c>
      <c r="H23" s="322">
        <v>0</v>
      </c>
      <c r="I23" s="322">
        <v>0</v>
      </c>
      <c r="J23" s="323">
        <v>0</v>
      </c>
      <c r="K23" s="330">
        <f t="shared" si="0"/>
        <v>0</v>
      </c>
      <c r="L23" s="331">
        <f t="shared" si="1"/>
        <v>-9356295</v>
      </c>
    </row>
    <row r="24" spans="1:12" ht="24">
      <c r="A24" s="346" t="s">
        <v>801</v>
      </c>
      <c r="B24" s="327">
        <v>0</v>
      </c>
      <c r="C24" s="327">
        <v>0</v>
      </c>
      <c r="D24" s="328">
        <v>0</v>
      </c>
      <c r="E24" s="327">
        <v>89</v>
      </c>
      <c r="F24" s="327">
        <v>55363</v>
      </c>
      <c r="G24" s="328">
        <f t="shared" si="2"/>
        <v>4927307</v>
      </c>
      <c r="H24" s="322">
        <v>0</v>
      </c>
      <c r="I24" s="322">
        <v>0</v>
      </c>
      <c r="J24" s="323">
        <v>0</v>
      </c>
      <c r="K24" s="330">
        <f t="shared" si="0"/>
        <v>0</v>
      </c>
      <c r="L24" s="331">
        <f t="shared" si="1"/>
        <v>-4927307</v>
      </c>
    </row>
    <row r="25" spans="1:12" ht="24">
      <c r="A25" s="346" t="s">
        <v>802</v>
      </c>
      <c r="B25" s="327">
        <v>0</v>
      </c>
      <c r="C25" s="327">
        <v>0</v>
      </c>
      <c r="D25" s="328">
        <v>0</v>
      </c>
      <c r="E25" s="327">
        <v>3</v>
      </c>
      <c r="F25" s="327">
        <v>88580</v>
      </c>
      <c r="G25" s="328">
        <f t="shared" si="2"/>
        <v>265740</v>
      </c>
      <c r="H25" s="322">
        <v>0</v>
      </c>
      <c r="I25" s="322">
        <v>0</v>
      </c>
      <c r="J25" s="323">
        <v>0</v>
      </c>
      <c r="K25" s="330">
        <f t="shared" si="0"/>
        <v>0</v>
      </c>
      <c r="L25" s="331">
        <f t="shared" si="1"/>
        <v>-265740</v>
      </c>
    </row>
    <row r="26" spans="1:12" ht="12">
      <c r="A26" s="326" t="s">
        <v>803</v>
      </c>
      <c r="B26" s="327"/>
      <c r="C26" s="327"/>
      <c r="D26" s="328"/>
      <c r="E26" s="327">
        <v>31</v>
      </c>
      <c r="F26" s="327">
        <v>166088</v>
      </c>
      <c r="G26" s="328">
        <f t="shared" si="2"/>
        <v>5148728</v>
      </c>
      <c r="H26" s="344">
        <v>28</v>
      </c>
      <c r="I26" s="344">
        <v>166080</v>
      </c>
      <c r="J26" s="345">
        <f>H26*I26</f>
        <v>4650240</v>
      </c>
      <c r="K26" s="330">
        <f t="shared" si="0"/>
        <v>4650240</v>
      </c>
      <c r="L26" s="331">
        <f t="shared" si="1"/>
        <v>-498488</v>
      </c>
    </row>
    <row r="27" spans="1:12" ht="12">
      <c r="A27" s="326" t="s">
        <v>804</v>
      </c>
      <c r="B27" s="327">
        <v>27</v>
      </c>
      <c r="C27" s="327">
        <v>171000</v>
      </c>
      <c r="D27" s="328">
        <v>4617000</v>
      </c>
      <c r="E27" s="327">
        <v>0</v>
      </c>
      <c r="F27" s="327">
        <v>0</v>
      </c>
      <c r="G27" s="328">
        <f t="shared" si="2"/>
        <v>0</v>
      </c>
      <c r="H27" s="322">
        <v>0</v>
      </c>
      <c r="I27" s="322">
        <v>0</v>
      </c>
      <c r="J27" s="323">
        <v>0</v>
      </c>
      <c r="K27" s="330">
        <f t="shared" si="0"/>
        <v>-4617000</v>
      </c>
      <c r="L27" s="331">
        <f t="shared" si="1"/>
        <v>0</v>
      </c>
    </row>
    <row r="28" spans="1:12" ht="12">
      <c r="A28" s="326" t="s">
        <v>805</v>
      </c>
      <c r="B28" s="327">
        <v>4</v>
      </c>
      <c r="C28" s="327">
        <v>270700</v>
      </c>
      <c r="D28" s="328">
        <v>1082800</v>
      </c>
      <c r="E28" s="327">
        <v>0</v>
      </c>
      <c r="F28" s="327">
        <v>0</v>
      </c>
      <c r="G28" s="328">
        <f t="shared" si="2"/>
        <v>0</v>
      </c>
      <c r="H28" s="322">
        <v>0</v>
      </c>
      <c r="I28" s="322">
        <v>0</v>
      </c>
      <c r="J28" s="323">
        <v>0</v>
      </c>
      <c r="K28" s="330">
        <f t="shared" si="0"/>
        <v>-1082800</v>
      </c>
      <c r="L28" s="331">
        <f t="shared" si="1"/>
        <v>0</v>
      </c>
    </row>
    <row r="29" spans="1:12" ht="12">
      <c r="A29" s="326" t="s">
        <v>806</v>
      </c>
      <c r="B29" s="327">
        <v>40</v>
      </c>
      <c r="C29" s="327">
        <v>29500</v>
      </c>
      <c r="D29" s="328">
        <v>1180000</v>
      </c>
      <c r="E29" s="327">
        <v>0</v>
      </c>
      <c r="F29" s="327">
        <v>0</v>
      </c>
      <c r="G29" s="328">
        <f t="shared" si="2"/>
        <v>0</v>
      </c>
      <c r="H29" s="322">
        <v>0</v>
      </c>
      <c r="I29" s="322">
        <v>0</v>
      </c>
      <c r="J29" s="323">
        <v>0</v>
      </c>
      <c r="K29" s="330">
        <f t="shared" si="0"/>
        <v>-1180000</v>
      </c>
      <c r="L29" s="331">
        <f t="shared" si="1"/>
        <v>0</v>
      </c>
    </row>
    <row r="30" spans="1:12" ht="12">
      <c r="A30" s="326" t="s">
        <v>819</v>
      </c>
      <c r="B30" s="327">
        <v>65</v>
      </c>
      <c r="C30" s="327">
        <v>146200</v>
      </c>
      <c r="D30" s="328">
        <v>9503000</v>
      </c>
      <c r="E30" s="327">
        <v>0</v>
      </c>
      <c r="F30" s="327">
        <v>0</v>
      </c>
      <c r="G30" s="328">
        <f t="shared" si="2"/>
        <v>0</v>
      </c>
      <c r="H30" s="344">
        <v>65</v>
      </c>
      <c r="I30" s="344">
        <v>88580</v>
      </c>
      <c r="J30" s="345">
        <f>H30*I30</f>
        <v>5757700</v>
      </c>
      <c r="K30" s="330">
        <f t="shared" si="0"/>
        <v>-3745300</v>
      </c>
      <c r="L30" s="331">
        <f t="shared" si="1"/>
        <v>5757700</v>
      </c>
    </row>
    <row r="31" spans="1:12" ht="12">
      <c r="A31" s="326" t="s">
        <v>820</v>
      </c>
      <c r="B31" s="327">
        <v>25</v>
      </c>
      <c r="C31" s="327">
        <v>454110</v>
      </c>
      <c r="D31" s="328">
        <v>11352750</v>
      </c>
      <c r="E31" s="327">
        <v>25</v>
      </c>
      <c r="F31" s="327">
        <v>405600</v>
      </c>
      <c r="G31" s="328">
        <f t="shared" si="2"/>
        <v>10140000</v>
      </c>
      <c r="H31" s="344">
        <v>25</v>
      </c>
      <c r="I31" s="344">
        <v>405600</v>
      </c>
      <c r="J31" s="345">
        <f>H31*I31</f>
        <v>10140000</v>
      </c>
      <c r="K31" s="330">
        <f t="shared" si="0"/>
        <v>-1212750</v>
      </c>
      <c r="L31" s="331">
        <f t="shared" si="1"/>
        <v>0</v>
      </c>
    </row>
    <row r="32" spans="1:12" ht="12">
      <c r="A32" s="326" t="s">
        <v>821</v>
      </c>
      <c r="B32" s="327">
        <v>32</v>
      </c>
      <c r="C32" s="327">
        <v>214650</v>
      </c>
      <c r="D32" s="328">
        <v>6868800</v>
      </c>
      <c r="E32" s="327">
        <v>35</v>
      </c>
      <c r="F32" s="327">
        <v>206100</v>
      </c>
      <c r="G32" s="328">
        <f t="shared" si="2"/>
        <v>7213500</v>
      </c>
      <c r="H32" s="344">
        <v>36</v>
      </c>
      <c r="I32" s="344">
        <v>206100</v>
      </c>
      <c r="J32" s="345">
        <f>H32*I32</f>
        <v>7419600</v>
      </c>
      <c r="K32" s="330">
        <f t="shared" si="0"/>
        <v>550800</v>
      </c>
      <c r="L32" s="331">
        <f t="shared" si="1"/>
        <v>206100</v>
      </c>
    </row>
    <row r="33" spans="1:12" ht="12">
      <c r="A33" s="326" t="s">
        <v>822</v>
      </c>
      <c r="B33" s="327">
        <v>26</v>
      </c>
      <c r="C33" s="327">
        <v>516750</v>
      </c>
      <c r="D33" s="328">
        <v>13435500</v>
      </c>
      <c r="E33" s="327">
        <v>26</v>
      </c>
      <c r="F33" s="327">
        <v>468350</v>
      </c>
      <c r="G33" s="328">
        <f t="shared" si="2"/>
        <v>12177100</v>
      </c>
      <c r="H33" s="344">
        <v>27</v>
      </c>
      <c r="I33" s="344">
        <v>468350</v>
      </c>
      <c r="J33" s="345">
        <f>H33*I33</f>
        <v>12645450</v>
      </c>
      <c r="K33" s="330">
        <f t="shared" si="0"/>
        <v>-790050</v>
      </c>
      <c r="L33" s="331">
        <f t="shared" si="1"/>
        <v>468350</v>
      </c>
    </row>
    <row r="34" spans="1:12" s="341" customFormat="1" ht="13.5">
      <c r="A34" s="335" t="s">
        <v>823</v>
      </c>
      <c r="B34" s="336"/>
      <c r="C34" s="336"/>
      <c r="D34" s="337">
        <f>SUM(D16:D33)</f>
        <v>202872605</v>
      </c>
      <c r="E34" s="336"/>
      <c r="F34" s="336"/>
      <c r="G34" s="337">
        <f>SUM(G16:G33)</f>
        <v>189002780</v>
      </c>
      <c r="H34" s="338"/>
      <c r="I34" s="338"/>
      <c r="J34" s="339">
        <f>SUM(J16:J33)</f>
        <v>193540561</v>
      </c>
      <c r="K34" s="340">
        <f t="shared" si="0"/>
        <v>-9332044</v>
      </c>
      <c r="L34" s="137">
        <f t="shared" si="1"/>
        <v>4537781</v>
      </c>
    </row>
    <row r="35" spans="1:12" ht="12">
      <c r="A35" s="326"/>
      <c r="B35" s="327"/>
      <c r="C35" s="327"/>
      <c r="D35" s="343"/>
      <c r="E35" s="327"/>
      <c r="F35" s="327"/>
      <c r="G35" s="343"/>
      <c r="H35" s="322"/>
      <c r="I35" s="322"/>
      <c r="J35" s="323"/>
      <c r="K35" s="330"/>
      <c r="L35" s="331"/>
    </row>
    <row r="36" spans="1:12" ht="12">
      <c r="A36" s="326" t="s">
        <v>571</v>
      </c>
      <c r="B36" s="327">
        <v>52</v>
      </c>
      <c r="C36" s="327">
        <v>540150</v>
      </c>
      <c r="D36" s="328">
        <v>28087800</v>
      </c>
      <c r="E36" s="327">
        <v>47</v>
      </c>
      <c r="F36" s="327">
        <v>494100</v>
      </c>
      <c r="G36" s="328">
        <f t="shared" si="2"/>
        <v>23222700</v>
      </c>
      <c r="H36" s="322">
        <v>51</v>
      </c>
      <c r="I36" s="322">
        <v>494100</v>
      </c>
      <c r="J36" s="323">
        <f>H36*I36</f>
        <v>25199100</v>
      </c>
      <c r="K36" s="330">
        <f t="shared" si="0"/>
        <v>-2888700</v>
      </c>
      <c r="L36" s="331">
        <f t="shared" si="1"/>
        <v>1976400</v>
      </c>
    </row>
    <row r="37" spans="1:12" ht="12">
      <c r="A37" s="326" t="s">
        <v>56</v>
      </c>
      <c r="B37" s="327">
        <v>3</v>
      </c>
      <c r="C37" s="327">
        <v>65000</v>
      </c>
      <c r="D37" s="328">
        <v>195000</v>
      </c>
      <c r="E37" s="327">
        <v>2</v>
      </c>
      <c r="F37" s="327">
        <v>65000</v>
      </c>
      <c r="G37" s="328">
        <f t="shared" si="2"/>
        <v>130000</v>
      </c>
      <c r="H37" s="322">
        <v>6</v>
      </c>
      <c r="I37" s="322">
        <v>68000</v>
      </c>
      <c r="J37" s="323">
        <f>H37*I37</f>
        <v>408000</v>
      </c>
      <c r="K37" s="330">
        <f t="shared" si="0"/>
        <v>213000</v>
      </c>
      <c r="L37" s="331">
        <f t="shared" si="1"/>
        <v>278000</v>
      </c>
    </row>
    <row r="38" spans="1:12" ht="12">
      <c r="A38" s="326" t="s">
        <v>824</v>
      </c>
      <c r="B38" s="327">
        <v>657</v>
      </c>
      <c r="C38" s="327">
        <v>2550000</v>
      </c>
      <c r="D38" s="328">
        <v>102850000</v>
      </c>
      <c r="E38" s="327">
        <v>0</v>
      </c>
      <c r="F38" s="327">
        <v>0</v>
      </c>
      <c r="G38" s="328">
        <f t="shared" si="2"/>
        <v>0</v>
      </c>
      <c r="H38" s="322">
        <v>0</v>
      </c>
      <c r="I38" s="322">
        <v>0</v>
      </c>
      <c r="J38" s="323">
        <v>0</v>
      </c>
      <c r="K38" s="330">
        <f t="shared" si="0"/>
        <v>-102850000</v>
      </c>
      <c r="L38" s="331">
        <f t="shared" si="1"/>
        <v>0</v>
      </c>
    </row>
    <row r="39" spans="1:12" ht="12">
      <c r="A39" s="326" t="s">
        <v>825</v>
      </c>
      <c r="B39" s="327">
        <v>670</v>
      </c>
      <c r="C39" s="327">
        <v>2540000</v>
      </c>
      <c r="D39" s="328">
        <v>45974000</v>
      </c>
      <c r="E39" s="327">
        <v>0</v>
      </c>
      <c r="F39" s="327">
        <v>0</v>
      </c>
      <c r="G39" s="328">
        <v>0</v>
      </c>
      <c r="H39" s="322">
        <v>0</v>
      </c>
      <c r="I39" s="322">
        <v>0</v>
      </c>
      <c r="J39" s="323">
        <v>0</v>
      </c>
      <c r="K39" s="330">
        <f t="shared" si="0"/>
        <v>-45974000</v>
      </c>
      <c r="L39" s="331">
        <f t="shared" si="1"/>
        <v>0</v>
      </c>
    </row>
    <row r="40" spans="1:12" ht="12">
      <c r="A40" s="326" t="s">
        <v>842</v>
      </c>
      <c r="B40" s="327">
        <v>0</v>
      </c>
      <c r="C40" s="327">
        <v>0</v>
      </c>
      <c r="D40" s="328">
        <v>0</v>
      </c>
      <c r="E40" s="327">
        <v>686</v>
      </c>
      <c r="F40" s="327">
        <v>2350000</v>
      </c>
      <c r="G40" s="328">
        <v>130660000</v>
      </c>
      <c r="H40" s="322">
        <v>689</v>
      </c>
      <c r="I40" s="322">
        <v>2350000</v>
      </c>
      <c r="J40" s="323">
        <v>131130000</v>
      </c>
      <c r="K40" s="330">
        <f t="shared" si="0"/>
        <v>131130000</v>
      </c>
      <c r="L40" s="331">
        <f t="shared" si="1"/>
        <v>470000</v>
      </c>
    </row>
    <row r="41" spans="1:12" ht="12">
      <c r="A41" s="326" t="s">
        <v>843</v>
      </c>
      <c r="B41" s="327">
        <v>857</v>
      </c>
      <c r="C41" s="327">
        <v>2550000</v>
      </c>
      <c r="D41" s="328">
        <v>98770000</v>
      </c>
      <c r="E41" s="327">
        <v>0</v>
      </c>
      <c r="F41" s="327">
        <v>0</v>
      </c>
      <c r="G41" s="328">
        <v>0</v>
      </c>
      <c r="H41" s="322">
        <v>0</v>
      </c>
      <c r="I41" s="322">
        <v>0</v>
      </c>
      <c r="J41" s="323">
        <v>0</v>
      </c>
      <c r="K41" s="330">
        <f t="shared" si="0"/>
        <v>-98770000</v>
      </c>
      <c r="L41" s="331">
        <f t="shared" si="1"/>
        <v>0</v>
      </c>
    </row>
    <row r="42" spans="1:12" ht="12">
      <c r="A42" s="326" t="s">
        <v>844</v>
      </c>
      <c r="B42" s="327">
        <v>876</v>
      </c>
      <c r="C42" s="327">
        <v>2540000</v>
      </c>
      <c r="D42" s="328">
        <v>47243999</v>
      </c>
      <c r="E42" s="327">
        <v>0</v>
      </c>
      <c r="F42" s="327">
        <v>0</v>
      </c>
      <c r="G42" s="328">
        <v>0</v>
      </c>
      <c r="H42" s="322">
        <v>0</v>
      </c>
      <c r="I42" s="322">
        <v>0</v>
      </c>
      <c r="J42" s="323">
        <v>0</v>
      </c>
      <c r="K42" s="330">
        <f t="shared" si="0"/>
        <v>-47243999</v>
      </c>
      <c r="L42" s="331">
        <f t="shared" si="1"/>
        <v>0</v>
      </c>
    </row>
    <row r="43" spans="1:12" ht="12">
      <c r="A43" s="326" t="s">
        <v>845</v>
      </c>
      <c r="B43" s="347">
        <v>0</v>
      </c>
      <c r="C43" s="327">
        <v>0</v>
      </c>
      <c r="D43" s="328">
        <v>0</v>
      </c>
      <c r="E43" s="327">
        <v>936</v>
      </c>
      <c r="F43" s="327">
        <v>2350000</v>
      </c>
      <c r="G43" s="328">
        <v>130660000</v>
      </c>
      <c r="H43" s="344">
        <v>967</v>
      </c>
      <c r="I43" s="344">
        <v>2350000</v>
      </c>
      <c r="J43" s="345">
        <v>135594999</v>
      </c>
      <c r="K43" s="330">
        <f t="shared" si="0"/>
        <v>135594999</v>
      </c>
      <c r="L43" s="331">
        <f t="shared" si="1"/>
        <v>4934999</v>
      </c>
    </row>
    <row r="44" spans="1:12" ht="12">
      <c r="A44" s="326" t="s">
        <v>846</v>
      </c>
      <c r="B44" s="327">
        <v>977</v>
      </c>
      <c r="C44" s="327">
        <v>2550000</v>
      </c>
      <c r="D44" s="328">
        <v>129880000</v>
      </c>
      <c r="E44" s="327">
        <v>0</v>
      </c>
      <c r="F44" s="327">
        <v>0</v>
      </c>
      <c r="G44" s="328">
        <v>0</v>
      </c>
      <c r="H44" s="322"/>
      <c r="I44" s="322"/>
      <c r="J44" s="323"/>
      <c r="K44" s="330">
        <f t="shared" si="0"/>
        <v>-129880000</v>
      </c>
      <c r="L44" s="331">
        <f t="shared" si="1"/>
        <v>0</v>
      </c>
    </row>
    <row r="45" spans="1:12" ht="12">
      <c r="A45" s="326" t="s">
        <v>847</v>
      </c>
      <c r="B45" s="327">
        <v>947</v>
      </c>
      <c r="C45" s="327">
        <v>2540000</v>
      </c>
      <c r="D45" s="328">
        <v>60452000</v>
      </c>
      <c r="E45" s="327">
        <v>0</v>
      </c>
      <c r="F45" s="327">
        <v>0</v>
      </c>
      <c r="G45" s="328">
        <v>0</v>
      </c>
      <c r="H45" s="322"/>
      <c r="I45" s="322"/>
      <c r="J45" s="323"/>
      <c r="K45" s="330">
        <f t="shared" si="0"/>
        <v>-60452000</v>
      </c>
      <c r="L45" s="331">
        <f t="shared" si="1"/>
        <v>0</v>
      </c>
    </row>
    <row r="46" spans="1:12" ht="12">
      <c r="A46" s="348" t="s">
        <v>848</v>
      </c>
      <c r="B46" s="349">
        <v>0</v>
      </c>
      <c r="C46" s="350">
        <v>0</v>
      </c>
      <c r="D46" s="351">
        <v>0</v>
      </c>
      <c r="E46" s="350">
        <v>978</v>
      </c>
      <c r="F46" s="350">
        <v>2350000</v>
      </c>
      <c r="G46" s="351">
        <v>165910000</v>
      </c>
      <c r="H46" s="344">
        <v>929</v>
      </c>
      <c r="I46" s="344">
        <v>2350000</v>
      </c>
      <c r="J46" s="345">
        <v>157606666</v>
      </c>
      <c r="K46" s="330">
        <f t="shared" si="0"/>
        <v>157606666</v>
      </c>
      <c r="L46" s="331">
        <f t="shared" si="1"/>
        <v>-8303334</v>
      </c>
    </row>
    <row r="47" spans="1:12" ht="12">
      <c r="A47" s="348" t="s">
        <v>849</v>
      </c>
      <c r="B47" s="350">
        <v>1</v>
      </c>
      <c r="C47" s="350">
        <v>384000</v>
      </c>
      <c r="D47" s="351">
        <v>384000</v>
      </c>
      <c r="E47" s="350">
        <v>1</v>
      </c>
      <c r="F47" s="350">
        <v>358400</v>
      </c>
      <c r="G47" s="351">
        <f>E47*F47</f>
        <v>358400</v>
      </c>
      <c r="H47" s="344">
        <v>0</v>
      </c>
      <c r="I47" s="344">
        <v>358400</v>
      </c>
      <c r="J47" s="345">
        <v>0</v>
      </c>
      <c r="K47" s="330">
        <f t="shared" si="0"/>
        <v>-384000</v>
      </c>
      <c r="L47" s="331">
        <f t="shared" si="1"/>
        <v>-358400</v>
      </c>
    </row>
    <row r="48" spans="1:12" ht="12">
      <c r="A48" s="326" t="s">
        <v>850</v>
      </c>
      <c r="B48" s="327">
        <v>1</v>
      </c>
      <c r="C48" s="327">
        <v>382400</v>
      </c>
      <c r="D48" s="328">
        <f>B48*C48</f>
        <v>382400</v>
      </c>
      <c r="E48" s="327">
        <v>0</v>
      </c>
      <c r="F48" s="327">
        <v>0</v>
      </c>
      <c r="G48" s="328">
        <v>0</v>
      </c>
      <c r="H48" s="322"/>
      <c r="I48" s="322"/>
      <c r="J48" s="323"/>
      <c r="K48" s="330">
        <f t="shared" si="0"/>
        <v>-382400</v>
      </c>
      <c r="L48" s="331">
        <f t="shared" si="1"/>
        <v>0</v>
      </c>
    </row>
    <row r="49" spans="1:12" ht="12">
      <c r="A49" s="326" t="s">
        <v>851</v>
      </c>
      <c r="B49" s="327">
        <v>5</v>
      </c>
      <c r="C49" s="327">
        <v>384000</v>
      </c>
      <c r="D49" s="328">
        <v>1920000</v>
      </c>
      <c r="E49" s="327">
        <v>0</v>
      </c>
      <c r="F49" s="327">
        <v>0</v>
      </c>
      <c r="G49" s="328">
        <v>0</v>
      </c>
      <c r="H49" s="322"/>
      <c r="I49" s="322"/>
      <c r="J49" s="323"/>
      <c r="K49" s="330">
        <f t="shared" si="0"/>
        <v>-1920000</v>
      </c>
      <c r="L49" s="331">
        <f t="shared" si="1"/>
        <v>0</v>
      </c>
    </row>
    <row r="50" spans="1:12" ht="12">
      <c r="A50" s="326" t="s">
        <v>852</v>
      </c>
      <c r="B50" s="352">
        <v>1.66</v>
      </c>
      <c r="C50" s="327">
        <v>382400</v>
      </c>
      <c r="D50" s="328">
        <v>637333</v>
      </c>
      <c r="E50" s="327">
        <v>0</v>
      </c>
      <c r="F50" s="327">
        <v>0</v>
      </c>
      <c r="G50" s="328">
        <v>0</v>
      </c>
      <c r="H50" s="322"/>
      <c r="I50" s="322"/>
      <c r="J50" s="323"/>
      <c r="K50" s="330">
        <f t="shared" si="0"/>
        <v>-637333</v>
      </c>
      <c r="L50" s="331">
        <f t="shared" si="1"/>
        <v>0</v>
      </c>
    </row>
    <row r="51" spans="1:12" ht="12">
      <c r="A51" s="348" t="s">
        <v>853</v>
      </c>
      <c r="B51" s="353">
        <v>0</v>
      </c>
      <c r="C51" s="350">
        <v>0</v>
      </c>
      <c r="D51" s="351">
        <v>0</v>
      </c>
      <c r="E51" s="350">
        <v>3</v>
      </c>
      <c r="F51" s="350">
        <v>358400</v>
      </c>
      <c r="G51" s="351">
        <f>E51*F51</f>
        <v>1075200</v>
      </c>
      <c r="H51" s="344">
        <v>3</v>
      </c>
      <c r="I51" s="344">
        <v>358400</v>
      </c>
      <c r="J51" s="345">
        <v>955733</v>
      </c>
      <c r="K51" s="330">
        <f t="shared" si="0"/>
        <v>955733</v>
      </c>
      <c r="L51" s="331">
        <f t="shared" si="1"/>
        <v>-119467</v>
      </c>
    </row>
    <row r="52" spans="1:12" ht="12">
      <c r="A52" s="326" t="s">
        <v>854</v>
      </c>
      <c r="B52" s="352">
        <v>7.33</v>
      </c>
      <c r="C52" s="327">
        <v>192000</v>
      </c>
      <c r="D52" s="328">
        <v>1408000</v>
      </c>
      <c r="E52" s="327">
        <v>0</v>
      </c>
      <c r="F52" s="327">
        <v>0</v>
      </c>
      <c r="G52" s="328">
        <v>0</v>
      </c>
      <c r="H52" s="322"/>
      <c r="I52" s="322"/>
      <c r="J52" s="323"/>
      <c r="K52" s="330">
        <f t="shared" si="0"/>
        <v>-1408000</v>
      </c>
      <c r="L52" s="331">
        <f t="shared" si="1"/>
        <v>0</v>
      </c>
    </row>
    <row r="53" spans="1:12" ht="12">
      <c r="A53" s="326" t="s">
        <v>855</v>
      </c>
      <c r="B53" s="327">
        <v>3</v>
      </c>
      <c r="C53" s="327">
        <v>191200</v>
      </c>
      <c r="D53" s="328">
        <v>573600</v>
      </c>
      <c r="E53" s="327">
        <v>0</v>
      </c>
      <c r="F53" s="327">
        <v>0</v>
      </c>
      <c r="G53" s="328">
        <v>0</v>
      </c>
      <c r="H53" s="322"/>
      <c r="I53" s="322"/>
      <c r="J53" s="323"/>
      <c r="K53" s="330">
        <f t="shared" si="0"/>
        <v>-573600</v>
      </c>
      <c r="L53" s="331">
        <f t="shared" si="1"/>
        <v>0</v>
      </c>
    </row>
    <row r="54" spans="1:12" ht="12">
      <c r="A54" s="348" t="s">
        <v>856</v>
      </c>
      <c r="B54" s="350"/>
      <c r="C54" s="350"/>
      <c r="D54" s="351"/>
      <c r="E54" s="350"/>
      <c r="F54" s="350"/>
      <c r="G54" s="351"/>
      <c r="H54" s="344">
        <v>2</v>
      </c>
      <c r="I54" s="344">
        <v>179200</v>
      </c>
      <c r="J54" s="345">
        <v>298666</v>
      </c>
      <c r="K54" s="330">
        <f t="shared" si="0"/>
        <v>298666</v>
      </c>
      <c r="L54" s="331">
        <f t="shared" si="1"/>
        <v>298666</v>
      </c>
    </row>
    <row r="55" spans="1:12" ht="12">
      <c r="A55" s="326" t="s">
        <v>857</v>
      </c>
      <c r="B55" s="354">
        <v>3.3333</v>
      </c>
      <c r="C55" s="327">
        <v>144000</v>
      </c>
      <c r="D55" s="328">
        <v>480000</v>
      </c>
      <c r="E55" s="327">
        <v>0</v>
      </c>
      <c r="F55" s="327">
        <v>0</v>
      </c>
      <c r="G55" s="328">
        <v>0</v>
      </c>
      <c r="H55" s="322"/>
      <c r="I55" s="322"/>
      <c r="J55" s="323"/>
      <c r="K55" s="330">
        <f t="shared" si="0"/>
        <v>-480000</v>
      </c>
      <c r="L55" s="331">
        <f t="shared" si="1"/>
        <v>0</v>
      </c>
    </row>
    <row r="56" spans="1:12" ht="12">
      <c r="A56" s="326" t="s">
        <v>858</v>
      </c>
      <c r="B56" s="355">
        <v>1.3333</v>
      </c>
      <c r="C56" s="327">
        <v>143400</v>
      </c>
      <c r="D56" s="328">
        <v>191200</v>
      </c>
      <c r="E56" s="327">
        <v>0</v>
      </c>
      <c r="F56" s="327">
        <v>0</v>
      </c>
      <c r="G56" s="328">
        <v>0</v>
      </c>
      <c r="H56" s="322"/>
      <c r="I56" s="322"/>
      <c r="J56" s="323"/>
      <c r="K56" s="330">
        <f t="shared" si="0"/>
        <v>-191200</v>
      </c>
      <c r="L56" s="331">
        <f t="shared" si="1"/>
        <v>0</v>
      </c>
    </row>
    <row r="57" spans="1:12" ht="12.75" thickBot="1">
      <c r="A57" s="418" t="s">
        <v>859</v>
      </c>
      <c r="B57" s="419">
        <v>0</v>
      </c>
      <c r="C57" s="419">
        <v>0</v>
      </c>
      <c r="D57" s="420">
        <v>0</v>
      </c>
      <c r="E57" s="419">
        <v>21</v>
      </c>
      <c r="F57" s="419">
        <v>134400</v>
      </c>
      <c r="G57" s="420">
        <f>E57*F57</f>
        <v>2822400</v>
      </c>
      <c r="H57" s="421">
        <v>7</v>
      </c>
      <c r="I57" s="421">
        <v>156800</v>
      </c>
      <c r="J57" s="422">
        <v>1202133</v>
      </c>
      <c r="K57" s="423">
        <f t="shared" si="0"/>
        <v>1202133</v>
      </c>
      <c r="L57" s="424">
        <f t="shared" si="1"/>
        <v>-1620267</v>
      </c>
    </row>
    <row r="58" spans="1:12" ht="12.75" thickTop="1">
      <c r="A58" s="425" t="s">
        <v>899</v>
      </c>
      <c r="B58" s="426"/>
      <c r="C58" s="426"/>
      <c r="D58" s="427"/>
      <c r="E58" s="426"/>
      <c r="F58" s="426"/>
      <c r="G58" s="427"/>
      <c r="H58" s="428">
        <v>14</v>
      </c>
      <c r="I58" s="428">
        <v>134400</v>
      </c>
      <c r="J58" s="429">
        <f>H58*I58</f>
        <v>1881600</v>
      </c>
      <c r="K58" s="430">
        <f t="shared" si="0"/>
        <v>1881600</v>
      </c>
      <c r="L58" s="431">
        <f t="shared" si="1"/>
        <v>1881600</v>
      </c>
    </row>
    <row r="59" spans="1:12" ht="12">
      <c r="A59" s="326" t="s">
        <v>900</v>
      </c>
      <c r="B59" s="327">
        <v>2</v>
      </c>
      <c r="C59" s="327">
        <v>240000</v>
      </c>
      <c r="D59" s="328">
        <f>B59*C59</f>
        <v>480000</v>
      </c>
      <c r="E59" s="327">
        <v>0</v>
      </c>
      <c r="F59" s="327">
        <v>0</v>
      </c>
      <c r="G59" s="328">
        <v>0</v>
      </c>
      <c r="H59" s="322"/>
      <c r="I59" s="322"/>
      <c r="J59" s="323"/>
      <c r="K59" s="330">
        <f t="shared" si="0"/>
        <v>-480000</v>
      </c>
      <c r="L59" s="331">
        <f t="shared" si="1"/>
        <v>0</v>
      </c>
    </row>
    <row r="60" spans="1:12" ht="12">
      <c r="A60" s="326" t="s">
        <v>901</v>
      </c>
      <c r="B60" s="354">
        <v>0.3333</v>
      </c>
      <c r="C60" s="327">
        <v>239000</v>
      </c>
      <c r="D60" s="328">
        <v>79667</v>
      </c>
      <c r="E60" s="327">
        <v>0</v>
      </c>
      <c r="F60" s="327">
        <v>0</v>
      </c>
      <c r="G60" s="328">
        <v>0</v>
      </c>
      <c r="H60" s="322"/>
      <c r="I60" s="322"/>
      <c r="J60" s="323"/>
      <c r="K60" s="330">
        <f t="shared" si="0"/>
        <v>-79667</v>
      </c>
      <c r="L60" s="331">
        <f t="shared" si="1"/>
        <v>0</v>
      </c>
    </row>
    <row r="61" spans="1:12" ht="12">
      <c r="A61" s="348" t="s">
        <v>902</v>
      </c>
      <c r="B61" s="350">
        <v>0</v>
      </c>
      <c r="C61" s="350">
        <v>0</v>
      </c>
      <c r="D61" s="351">
        <v>0</v>
      </c>
      <c r="E61" s="350">
        <v>2</v>
      </c>
      <c r="F61" s="350">
        <v>224000</v>
      </c>
      <c r="G61" s="351">
        <v>448000</v>
      </c>
      <c r="H61" s="344">
        <v>2</v>
      </c>
      <c r="I61" s="344">
        <v>224000</v>
      </c>
      <c r="J61" s="345">
        <v>298667</v>
      </c>
      <c r="K61" s="330">
        <f t="shared" si="0"/>
        <v>298667</v>
      </c>
      <c r="L61" s="331">
        <f t="shared" si="1"/>
        <v>-149333</v>
      </c>
    </row>
    <row r="62" spans="1:12" ht="12">
      <c r="A62" s="326" t="s">
        <v>903</v>
      </c>
      <c r="B62" s="356">
        <v>281</v>
      </c>
      <c r="C62" s="327">
        <v>2550000</v>
      </c>
      <c r="D62" s="328">
        <v>10200000</v>
      </c>
      <c r="E62" s="327">
        <v>0</v>
      </c>
      <c r="F62" s="327">
        <v>0</v>
      </c>
      <c r="G62" s="328">
        <v>0</v>
      </c>
      <c r="H62" s="322"/>
      <c r="I62" s="322"/>
      <c r="J62" s="323"/>
      <c r="K62" s="330">
        <f t="shared" si="0"/>
        <v>-10200000</v>
      </c>
      <c r="L62" s="331">
        <f t="shared" si="1"/>
        <v>0</v>
      </c>
    </row>
    <row r="63" spans="1:12" ht="12">
      <c r="A63" s="326" t="s">
        <v>904</v>
      </c>
      <c r="B63" s="356">
        <v>280</v>
      </c>
      <c r="C63" s="327">
        <v>2540000</v>
      </c>
      <c r="D63" s="328">
        <v>5080000</v>
      </c>
      <c r="E63" s="327">
        <v>0</v>
      </c>
      <c r="F63" s="327">
        <v>0</v>
      </c>
      <c r="G63" s="328">
        <v>0</v>
      </c>
      <c r="H63" s="322"/>
      <c r="I63" s="322"/>
      <c r="J63" s="323"/>
      <c r="K63" s="330">
        <f t="shared" si="0"/>
        <v>-5080000</v>
      </c>
      <c r="L63" s="331">
        <f t="shared" si="1"/>
        <v>0</v>
      </c>
    </row>
    <row r="64" spans="1:12" ht="12">
      <c r="A64" s="348" t="s">
        <v>905</v>
      </c>
      <c r="B64" s="357">
        <v>0</v>
      </c>
      <c r="C64" s="350">
        <v>0</v>
      </c>
      <c r="D64" s="351">
        <v>0</v>
      </c>
      <c r="E64" s="350">
        <v>301</v>
      </c>
      <c r="F64" s="350">
        <v>2350000</v>
      </c>
      <c r="G64" s="351">
        <v>15040000</v>
      </c>
      <c r="H64" s="344">
        <v>286</v>
      </c>
      <c r="I64" s="344">
        <v>2350000</v>
      </c>
      <c r="J64" s="345">
        <v>9556667</v>
      </c>
      <c r="K64" s="330">
        <f t="shared" si="0"/>
        <v>9556667</v>
      </c>
      <c r="L64" s="331">
        <f t="shared" si="1"/>
        <v>-5483333</v>
      </c>
    </row>
    <row r="65" spans="1:12" ht="12">
      <c r="A65" s="348" t="s">
        <v>57</v>
      </c>
      <c r="B65" s="357"/>
      <c r="C65" s="350"/>
      <c r="D65" s="351"/>
      <c r="E65" s="350"/>
      <c r="F65" s="350"/>
      <c r="G65" s="351"/>
      <c r="H65" s="344">
        <v>287</v>
      </c>
      <c r="I65" s="344">
        <v>2350000</v>
      </c>
      <c r="J65" s="345">
        <v>10105000</v>
      </c>
      <c r="K65" s="330">
        <f t="shared" si="0"/>
        <v>10105000</v>
      </c>
      <c r="L65" s="331">
        <f t="shared" si="1"/>
        <v>10105000</v>
      </c>
    </row>
    <row r="66" spans="1:12" ht="12">
      <c r="A66" s="326" t="s">
        <v>906</v>
      </c>
      <c r="B66" s="327">
        <v>73</v>
      </c>
      <c r="C66" s="327">
        <v>2550000</v>
      </c>
      <c r="D66" s="328">
        <v>1020000</v>
      </c>
      <c r="E66" s="327">
        <v>0</v>
      </c>
      <c r="F66" s="327">
        <v>0</v>
      </c>
      <c r="G66" s="328">
        <v>0</v>
      </c>
      <c r="H66" s="322"/>
      <c r="I66" s="322"/>
      <c r="J66" s="323"/>
      <c r="K66" s="330">
        <f t="shared" si="0"/>
        <v>-1020000</v>
      </c>
      <c r="L66" s="331">
        <f t="shared" si="1"/>
        <v>0</v>
      </c>
    </row>
    <row r="67" spans="1:12" ht="12">
      <c r="A67" s="326" t="s">
        <v>0</v>
      </c>
      <c r="B67" s="327">
        <v>70</v>
      </c>
      <c r="C67" s="327">
        <v>2540000</v>
      </c>
      <c r="D67" s="328">
        <v>508000</v>
      </c>
      <c r="E67" s="327">
        <v>0</v>
      </c>
      <c r="F67" s="327">
        <v>0</v>
      </c>
      <c r="G67" s="328">
        <v>0</v>
      </c>
      <c r="H67" s="322"/>
      <c r="I67" s="322"/>
      <c r="J67" s="323"/>
      <c r="K67" s="330">
        <f t="shared" si="0"/>
        <v>-508000</v>
      </c>
      <c r="L67" s="331">
        <f t="shared" si="1"/>
        <v>0</v>
      </c>
    </row>
    <row r="68" spans="1:13" ht="12">
      <c r="A68" s="348" t="s">
        <v>1</v>
      </c>
      <c r="B68" s="350">
        <v>0</v>
      </c>
      <c r="C68" s="350">
        <v>0</v>
      </c>
      <c r="D68" s="351">
        <v>0</v>
      </c>
      <c r="E68" s="350">
        <v>63</v>
      </c>
      <c r="F68" s="350">
        <v>2350000</v>
      </c>
      <c r="G68" s="351">
        <v>1175000</v>
      </c>
      <c r="H68" s="344">
        <v>83</v>
      </c>
      <c r="I68" s="344">
        <v>2350000</v>
      </c>
      <c r="J68" s="345">
        <v>1096667</v>
      </c>
      <c r="K68" s="330">
        <f t="shared" si="0"/>
        <v>1096667</v>
      </c>
      <c r="L68" s="331">
        <f t="shared" si="1"/>
        <v>-78333</v>
      </c>
      <c r="M68" s="358"/>
    </row>
    <row r="69" spans="1:13" ht="12">
      <c r="A69" s="348" t="s">
        <v>2</v>
      </c>
      <c r="B69" s="350"/>
      <c r="C69" s="350"/>
      <c r="D69" s="351"/>
      <c r="E69" s="350"/>
      <c r="F69" s="350"/>
      <c r="G69" s="351"/>
      <c r="H69" s="344">
        <v>83</v>
      </c>
      <c r="I69" s="344">
        <v>2350000</v>
      </c>
      <c r="J69" s="345">
        <v>1175000</v>
      </c>
      <c r="K69" s="330">
        <f t="shared" si="0"/>
        <v>1175000</v>
      </c>
      <c r="L69" s="331">
        <f t="shared" si="1"/>
        <v>1175000</v>
      </c>
      <c r="M69" s="358"/>
    </row>
    <row r="70" spans="1:12" ht="12">
      <c r="A70" s="348" t="s">
        <v>3</v>
      </c>
      <c r="B70" s="350">
        <v>169</v>
      </c>
      <c r="C70" s="350">
        <v>65000</v>
      </c>
      <c r="D70" s="351">
        <v>10985000</v>
      </c>
      <c r="E70" s="350">
        <v>154</v>
      </c>
      <c r="F70" s="350">
        <v>65000</v>
      </c>
      <c r="G70" s="351">
        <f>E70*F70</f>
        <v>10010000</v>
      </c>
      <c r="H70" s="344">
        <v>91</v>
      </c>
      <c r="I70" s="344">
        <v>68000</v>
      </c>
      <c r="J70" s="345">
        <f>H70*I70</f>
        <v>6188000</v>
      </c>
      <c r="K70" s="330">
        <f t="shared" si="0"/>
        <v>-4797000</v>
      </c>
      <c r="L70" s="331">
        <f t="shared" si="1"/>
        <v>-3822000</v>
      </c>
    </row>
    <row r="71" spans="1:12" ht="12">
      <c r="A71" s="326" t="s">
        <v>15</v>
      </c>
      <c r="B71" s="327">
        <v>0</v>
      </c>
      <c r="C71" s="327">
        <v>0</v>
      </c>
      <c r="D71" s="328">
        <v>0</v>
      </c>
      <c r="E71" s="327">
        <v>17</v>
      </c>
      <c r="F71" s="327">
        <v>20000</v>
      </c>
      <c r="G71" s="328">
        <f>E71*F71</f>
        <v>340000</v>
      </c>
      <c r="H71" s="322">
        <v>0</v>
      </c>
      <c r="I71" s="322">
        <v>0</v>
      </c>
      <c r="J71" s="323">
        <v>0</v>
      </c>
      <c r="K71" s="330">
        <f aca="true" t="shared" si="3" ref="K71:K103">J71-D71</f>
        <v>0</v>
      </c>
      <c r="L71" s="331">
        <f aca="true" t="shared" si="4" ref="L71:L102">J71-G71</f>
        <v>-340000</v>
      </c>
    </row>
    <row r="72" spans="1:12" ht="12">
      <c r="A72" s="348" t="s">
        <v>16</v>
      </c>
      <c r="B72" s="350">
        <v>356</v>
      </c>
      <c r="C72" s="350">
        <v>65000</v>
      </c>
      <c r="D72" s="351">
        <v>23140000</v>
      </c>
      <c r="E72" s="350">
        <v>336</v>
      </c>
      <c r="F72" s="350">
        <v>65000</v>
      </c>
      <c r="G72" s="351">
        <f>E72*F72</f>
        <v>21840000</v>
      </c>
      <c r="H72" s="344">
        <v>453</v>
      </c>
      <c r="I72" s="344">
        <v>68000</v>
      </c>
      <c r="J72" s="345">
        <f>H72*I72</f>
        <v>30804000</v>
      </c>
      <c r="K72" s="330">
        <f t="shared" si="3"/>
        <v>7664000</v>
      </c>
      <c r="L72" s="331">
        <f t="shared" si="4"/>
        <v>8964000</v>
      </c>
    </row>
    <row r="73" spans="1:12" ht="12">
      <c r="A73" s="326" t="s">
        <v>17</v>
      </c>
      <c r="B73" s="327">
        <v>36</v>
      </c>
      <c r="C73" s="327">
        <v>20000</v>
      </c>
      <c r="D73" s="328">
        <v>720000</v>
      </c>
      <c r="E73" s="327">
        <v>0</v>
      </c>
      <c r="F73" s="327">
        <v>0</v>
      </c>
      <c r="G73" s="328">
        <v>0</v>
      </c>
      <c r="H73" s="322">
        <v>0</v>
      </c>
      <c r="I73" s="322">
        <v>0</v>
      </c>
      <c r="J73" s="323">
        <v>0</v>
      </c>
      <c r="K73" s="330">
        <f t="shared" si="3"/>
        <v>-720000</v>
      </c>
      <c r="L73" s="331">
        <f t="shared" si="4"/>
        <v>0</v>
      </c>
    </row>
    <row r="74" spans="1:12" ht="12">
      <c r="A74" s="326" t="s">
        <v>18</v>
      </c>
      <c r="B74" s="327">
        <v>704</v>
      </c>
      <c r="C74" s="327">
        <v>2550000</v>
      </c>
      <c r="D74" s="328">
        <v>10880000</v>
      </c>
      <c r="E74" s="327">
        <v>0</v>
      </c>
      <c r="F74" s="327">
        <v>0</v>
      </c>
      <c r="G74" s="328">
        <v>0</v>
      </c>
      <c r="H74" s="322">
        <v>0</v>
      </c>
      <c r="I74" s="322">
        <v>0</v>
      </c>
      <c r="J74" s="323">
        <v>0</v>
      </c>
      <c r="K74" s="330">
        <f t="shared" si="3"/>
        <v>-10880000</v>
      </c>
      <c r="L74" s="331">
        <f t="shared" si="4"/>
        <v>0</v>
      </c>
    </row>
    <row r="75" spans="1:12" ht="12">
      <c r="A75" s="326" t="s">
        <v>19</v>
      </c>
      <c r="B75" s="327">
        <v>715</v>
      </c>
      <c r="C75" s="327">
        <v>2540000</v>
      </c>
      <c r="D75" s="328">
        <v>5418666</v>
      </c>
      <c r="E75" s="327">
        <v>0</v>
      </c>
      <c r="F75" s="327">
        <v>0</v>
      </c>
      <c r="G75" s="328">
        <v>0</v>
      </c>
      <c r="H75" s="322">
        <v>0</v>
      </c>
      <c r="I75" s="322">
        <v>0</v>
      </c>
      <c r="J75" s="323">
        <v>0</v>
      </c>
      <c r="K75" s="330">
        <f t="shared" si="3"/>
        <v>-5418666</v>
      </c>
      <c r="L75" s="331">
        <f t="shared" si="4"/>
        <v>0</v>
      </c>
    </row>
    <row r="76" spans="1:12" ht="12">
      <c r="A76" s="348" t="s">
        <v>20</v>
      </c>
      <c r="B76" s="350">
        <v>0</v>
      </c>
      <c r="C76" s="350">
        <v>0</v>
      </c>
      <c r="D76" s="351">
        <v>0</v>
      </c>
      <c r="E76" s="350">
        <v>757</v>
      </c>
      <c r="F76" s="350">
        <v>2350000</v>
      </c>
      <c r="G76" s="351">
        <v>15980000</v>
      </c>
      <c r="H76" s="344">
        <v>683</v>
      </c>
      <c r="I76" s="344">
        <v>2350000</v>
      </c>
      <c r="J76" s="345">
        <v>9948333</v>
      </c>
      <c r="K76" s="330">
        <f t="shared" si="3"/>
        <v>9948333</v>
      </c>
      <c r="L76" s="331">
        <f t="shared" si="4"/>
        <v>-6031667</v>
      </c>
    </row>
    <row r="77" spans="1:12" ht="12">
      <c r="A77" s="348" t="s">
        <v>21</v>
      </c>
      <c r="B77" s="353">
        <v>187.33</v>
      </c>
      <c r="C77" s="350">
        <v>51000</v>
      </c>
      <c r="D77" s="351">
        <v>9554000</v>
      </c>
      <c r="E77" s="350">
        <v>301</v>
      </c>
      <c r="F77" s="350">
        <v>44900</v>
      </c>
      <c r="G77" s="351">
        <f>E77*F77</f>
        <v>13514900</v>
      </c>
      <c r="H77" s="344">
        <v>191</v>
      </c>
      <c r="I77" s="344">
        <v>44900</v>
      </c>
      <c r="J77" s="345">
        <v>8560933</v>
      </c>
      <c r="K77" s="330">
        <f t="shared" si="3"/>
        <v>-993067</v>
      </c>
      <c r="L77" s="331">
        <f t="shared" si="4"/>
        <v>-4953967</v>
      </c>
    </row>
    <row r="78" spans="1:12" ht="12">
      <c r="A78" s="348" t="s">
        <v>22</v>
      </c>
      <c r="B78" s="359">
        <v>48.666</v>
      </c>
      <c r="C78" s="350">
        <v>20000</v>
      </c>
      <c r="D78" s="351">
        <v>973333</v>
      </c>
      <c r="E78" s="350">
        <v>63</v>
      </c>
      <c r="F78" s="350">
        <v>17600</v>
      </c>
      <c r="G78" s="351">
        <f>E78*F78</f>
        <v>1108800</v>
      </c>
      <c r="H78" s="344">
        <v>55</v>
      </c>
      <c r="I78" s="344">
        <v>17600</v>
      </c>
      <c r="J78" s="345">
        <v>973867</v>
      </c>
      <c r="K78" s="330">
        <f t="shared" si="3"/>
        <v>534</v>
      </c>
      <c r="L78" s="331">
        <f t="shared" si="4"/>
        <v>-134933</v>
      </c>
    </row>
    <row r="79" spans="1:12" ht="12">
      <c r="A79" s="360" t="s">
        <v>23</v>
      </c>
      <c r="B79" s="327"/>
      <c r="C79" s="327"/>
      <c r="D79" s="328"/>
      <c r="E79" s="327"/>
      <c r="F79" s="327"/>
      <c r="G79" s="328"/>
      <c r="H79" s="322"/>
      <c r="I79" s="322"/>
      <c r="J79" s="323"/>
      <c r="K79" s="330">
        <f t="shared" si="3"/>
        <v>0</v>
      </c>
      <c r="L79" s="331">
        <f t="shared" si="4"/>
        <v>0</v>
      </c>
    </row>
    <row r="80" spans="1:12" ht="12">
      <c r="A80" s="326" t="s">
        <v>91</v>
      </c>
      <c r="B80" s="355">
        <v>93.333</v>
      </c>
      <c r="C80" s="327">
        <v>48500</v>
      </c>
      <c r="D80" s="328">
        <v>4526667</v>
      </c>
      <c r="E80" s="327">
        <v>0</v>
      </c>
      <c r="F80" s="327">
        <v>0</v>
      </c>
      <c r="G80" s="328">
        <v>0</v>
      </c>
      <c r="H80" s="322">
        <v>0</v>
      </c>
      <c r="I80" s="322">
        <v>0</v>
      </c>
      <c r="J80" s="323">
        <v>0</v>
      </c>
      <c r="K80" s="330">
        <f t="shared" si="3"/>
        <v>-4526667</v>
      </c>
      <c r="L80" s="331">
        <f t="shared" si="4"/>
        <v>0</v>
      </c>
    </row>
    <row r="81" spans="1:12" ht="12">
      <c r="A81" s="326" t="s">
        <v>92</v>
      </c>
      <c r="B81" s="361">
        <v>23.333</v>
      </c>
      <c r="C81" s="327">
        <v>19000</v>
      </c>
      <c r="D81" s="328">
        <v>443333</v>
      </c>
      <c r="E81" s="362">
        <v>0</v>
      </c>
      <c r="F81" s="327">
        <v>0</v>
      </c>
      <c r="G81" s="328">
        <v>0</v>
      </c>
      <c r="H81" s="322">
        <v>0</v>
      </c>
      <c r="I81" s="322">
        <v>0</v>
      </c>
      <c r="J81" s="323">
        <v>0</v>
      </c>
      <c r="K81" s="330">
        <f t="shared" si="3"/>
        <v>-443333</v>
      </c>
      <c r="L81" s="331">
        <f t="shared" si="4"/>
        <v>0</v>
      </c>
    </row>
    <row r="82" spans="1:12" ht="12">
      <c r="A82" s="363" t="s">
        <v>93</v>
      </c>
      <c r="B82" s="364">
        <v>1823</v>
      </c>
      <c r="C82" s="350">
        <v>1000</v>
      </c>
      <c r="D82" s="351">
        <f>B82*C82</f>
        <v>1823000</v>
      </c>
      <c r="E82" s="362">
        <v>1883</v>
      </c>
      <c r="F82" s="327">
        <v>1000</v>
      </c>
      <c r="G82" s="328">
        <f>E82*F82</f>
        <v>1883000</v>
      </c>
      <c r="H82" s="322">
        <v>0</v>
      </c>
      <c r="I82" s="322">
        <v>0</v>
      </c>
      <c r="J82" s="323">
        <v>0</v>
      </c>
      <c r="K82" s="330">
        <f t="shared" si="3"/>
        <v>-1823000</v>
      </c>
      <c r="L82" s="331">
        <f t="shared" si="4"/>
        <v>-1883000</v>
      </c>
    </row>
    <row r="83" spans="1:12" ht="12">
      <c r="A83" s="348" t="s">
        <v>94</v>
      </c>
      <c r="B83" s="364">
        <v>664</v>
      </c>
      <c r="C83" s="350">
        <v>10000</v>
      </c>
      <c r="D83" s="351">
        <v>6640000</v>
      </c>
      <c r="E83" s="365">
        <v>747</v>
      </c>
      <c r="F83" s="350">
        <v>10000</v>
      </c>
      <c r="G83" s="351">
        <f>E83*F83</f>
        <v>7470000</v>
      </c>
      <c r="H83" s="344">
        <v>810</v>
      </c>
      <c r="I83" s="344">
        <v>12000</v>
      </c>
      <c r="J83" s="345">
        <f>H83*I83</f>
        <v>9720000</v>
      </c>
      <c r="K83" s="330">
        <f t="shared" si="3"/>
        <v>3080000</v>
      </c>
      <c r="L83" s="331">
        <f t="shared" si="4"/>
        <v>2250000</v>
      </c>
    </row>
    <row r="84" spans="1:12" ht="12">
      <c r="A84" s="348" t="s">
        <v>95</v>
      </c>
      <c r="B84" s="364">
        <v>0</v>
      </c>
      <c r="C84" s="350">
        <v>0</v>
      </c>
      <c r="D84" s="351">
        <v>0</v>
      </c>
      <c r="E84" s="365">
        <v>104</v>
      </c>
      <c r="F84" s="350">
        <v>40000</v>
      </c>
      <c r="G84" s="351">
        <f>E84*F84</f>
        <v>4160000</v>
      </c>
      <c r="H84" s="344">
        <v>98</v>
      </c>
      <c r="I84" s="344">
        <v>40000</v>
      </c>
      <c r="J84" s="345">
        <v>4106667</v>
      </c>
      <c r="K84" s="330">
        <f t="shared" si="3"/>
        <v>4106667</v>
      </c>
      <c r="L84" s="331">
        <f t="shared" si="4"/>
        <v>-53333</v>
      </c>
    </row>
    <row r="85" spans="1:12" ht="12">
      <c r="A85" s="363" t="s">
        <v>96</v>
      </c>
      <c r="B85" s="365"/>
      <c r="C85" s="365"/>
      <c r="D85" s="366"/>
      <c r="E85" s="365"/>
      <c r="F85" s="365"/>
      <c r="G85" s="351"/>
      <c r="H85" s="344">
        <v>1894</v>
      </c>
      <c r="I85" s="344">
        <v>1750</v>
      </c>
      <c r="J85" s="345">
        <f>H85*I85</f>
        <v>3314500</v>
      </c>
      <c r="K85" s="330">
        <f t="shared" si="3"/>
        <v>3314500</v>
      </c>
      <c r="L85" s="331">
        <f t="shared" si="4"/>
        <v>3314500</v>
      </c>
    </row>
    <row r="86" spans="1:12" s="341" customFormat="1" ht="13.5">
      <c r="A86" s="367" t="s">
        <v>97</v>
      </c>
      <c r="B86" s="368"/>
      <c r="C86" s="368"/>
      <c r="D86" s="369">
        <f>SUM(D36:D85)</f>
        <v>611900998</v>
      </c>
      <c r="E86" s="368"/>
      <c r="F86" s="368"/>
      <c r="G86" s="370">
        <f>SUM(G36:G85)</f>
        <v>547808400</v>
      </c>
      <c r="H86" s="371"/>
      <c r="I86" s="371"/>
      <c r="J86" s="372">
        <f>SUM(J36:J85)</f>
        <v>550125198</v>
      </c>
      <c r="K86" s="340">
        <f t="shared" si="3"/>
        <v>-61775800</v>
      </c>
      <c r="L86" s="137">
        <f t="shared" si="4"/>
        <v>2316798</v>
      </c>
    </row>
    <row r="87" spans="1:12" ht="12">
      <c r="A87" s="326"/>
      <c r="B87" s="373"/>
      <c r="C87" s="373"/>
      <c r="D87" s="374"/>
      <c r="E87" s="373"/>
      <c r="F87" s="373"/>
      <c r="G87" s="343"/>
      <c r="H87" s="322"/>
      <c r="I87" s="322"/>
      <c r="J87" s="323"/>
      <c r="K87" s="330">
        <f t="shared" si="3"/>
        <v>0</v>
      </c>
      <c r="L87" s="331">
        <f t="shared" si="4"/>
        <v>0</v>
      </c>
    </row>
    <row r="88" spans="1:12" s="379" customFormat="1" ht="13.5">
      <c r="A88" s="335" t="s">
        <v>98</v>
      </c>
      <c r="B88" s="375"/>
      <c r="C88" s="376"/>
      <c r="D88" s="377">
        <f>D14+D34+D86</f>
        <v>961836481</v>
      </c>
      <c r="E88" s="376"/>
      <c r="F88" s="376"/>
      <c r="G88" s="337">
        <f>G14+G34+G86</f>
        <v>835001530</v>
      </c>
      <c r="H88" s="378"/>
      <c r="I88" s="378"/>
      <c r="J88" s="339">
        <f>J14+J34+J86</f>
        <v>867102551</v>
      </c>
      <c r="K88" s="340">
        <f t="shared" si="3"/>
        <v>-94733930</v>
      </c>
      <c r="L88" s="137">
        <f t="shared" si="4"/>
        <v>32101021</v>
      </c>
    </row>
    <row r="89" spans="1:12" ht="12">
      <c r="A89" s="326"/>
      <c r="B89" s="362"/>
      <c r="C89" s="362"/>
      <c r="D89" s="380"/>
      <c r="E89" s="362"/>
      <c r="F89" s="362"/>
      <c r="G89" s="328"/>
      <c r="H89" s="322"/>
      <c r="I89" s="322"/>
      <c r="J89" s="323"/>
      <c r="K89" s="330">
        <f t="shared" si="3"/>
        <v>0</v>
      </c>
      <c r="L89" s="331">
        <f t="shared" si="4"/>
        <v>0</v>
      </c>
    </row>
    <row r="90" spans="1:12" ht="12">
      <c r="A90" s="348" t="s">
        <v>99</v>
      </c>
      <c r="B90" s="381">
        <v>61.332</v>
      </c>
      <c r="C90" s="365">
        <v>11700</v>
      </c>
      <c r="D90" s="366">
        <v>717600</v>
      </c>
      <c r="E90" s="365">
        <v>0</v>
      </c>
      <c r="F90" s="365">
        <v>0</v>
      </c>
      <c r="G90" s="351">
        <v>0</v>
      </c>
      <c r="H90" s="344">
        <v>61</v>
      </c>
      <c r="I90" s="344">
        <v>10500</v>
      </c>
      <c r="J90" s="345">
        <f>H90*I90</f>
        <v>640500</v>
      </c>
      <c r="K90" s="330">
        <f t="shared" si="3"/>
        <v>-77100</v>
      </c>
      <c r="L90" s="331">
        <f t="shared" si="4"/>
        <v>640500</v>
      </c>
    </row>
    <row r="91" spans="1:12" ht="12">
      <c r="A91" s="382" t="s">
        <v>100</v>
      </c>
      <c r="B91" s="344">
        <v>166</v>
      </c>
      <c r="C91" s="344">
        <v>11700</v>
      </c>
      <c r="D91" s="366">
        <f>B91*C91</f>
        <v>1942200</v>
      </c>
      <c r="E91" s="344">
        <v>0</v>
      </c>
      <c r="F91" s="344">
        <v>0</v>
      </c>
      <c r="G91" s="351">
        <v>0</v>
      </c>
      <c r="H91" s="344">
        <v>173</v>
      </c>
      <c r="I91" s="344">
        <v>10500</v>
      </c>
      <c r="J91" s="345">
        <f>H91*I91</f>
        <v>1816500</v>
      </c>
      <c r="K91" s="330">
        <f t="shared" si="3"/>
        <v>-125700</v>
      </c>
      <c r="L91" s="331">
        <f t="shared" si="4"/>
        <v>1816500</v>
      </c>
    </row>
    <row r="92" spans="1:12" ht="12">
      <c r="A92" s="326" t="s">
        <v>101</v>
      </c>
      <c r="B92" s="383">
        <v>5.333</v>
      </c>
      <c r="C92" s="362">
        <v>970000</v>
      </c>
      <c r="D92" s="380">
        <v>5173333</v>
      </c>
      <c r="E92" s="362">
        <v>7</v>
      </c>
      <c r="F92" s="362">
        <v>900000</v>
      </c>
      <c r="G92" s="328">
        <f>E92*F92</f>
        <v>6300000</v>
      </c>
      <c r="H92" s="322">
        <v>6</v>
      </c>
      <c r="I92" s="322">
        <v>1200000</v>
      </c>
      <c r="J92" s="323">
        <f>H92*I92</f>
        <v>7200000</v>
      </c>
      <c r="K92" s="330">
        <f t="shared" si="3"/>
        <v>2026667</v>
      </c>
      <c r="L92" s="331">
        <f t="shared" si="4"/>
        <v>900000</v>
      </c>
    </row>
    <row r="93" spans="1:12" ht="12">
      <c r="A93" s="326" t="s">
        <v>102</v>
      </c>
      <c r="B93" s="383">
        <v>1830.32</v>
      </c>
      <c r="C93" s="362">
        <v>430</v>
      </c>
      <c r="D93" s="380">
        <v>787044</v>
      </c>
      <c r="E93" s="362">
        <v>0</v>
      </c>
      <c r="F93" s="362">
        <v>0</v>
      </c>
      <c r="G93" s="328">
        <v>0</v>
      </c>
      <c r="H93" s="322">
        <v>0</v>
      </c>
      <c r="I93" s="322">
        <v>0</v>
      </c>
      <c r="J93" s="323">
        <v>0</v>
      </c>
      <c r="K93" s="330">
        <f t="shared" si="3"/>
        <v>-787044</v>
      </c>
      <c r="L93" s="331">
        <f t="shared" si="4"/>
        <v>0</v>
      </c>
    </row>
    <row r="94" spans="1:12" ht="12">
      <c r="A94" s="363" t="s">
        <v>103</v>
      </c>
      <c r="B94" s="350">
        <v>31</v>
      </c>
      <c r="C94" s="350">
        <v>9400</v>
      </c>
      <c r="D94" s="351">
        <v>291400</v>
      </c>
      <c r="E94" s="350">
        <v>27</v>
      </c>
      <c r="F94" s="350">
        <v>9400</v>
      </c>
      <c r="G94" s="351">
        <v>253800</v>
      </c>
      <c r="H94" s="344">
        <v>28</v>
      </c>
      <c r="I94" s="344">
        <v>9400</v>
      </c>
      <c r="J94" s="345">
        <f>H94*I94</f>
        <v>263200</v>
      </c>
      <c r="K94" s="330">
        <f t="shared" si="3"/>
        <v>-28200</v>
      </c>
      <c r="L94" s="331">
        <f t="shared" si="4"/>
        <v>9400</v>
      </c>
    </row>
    <row r="95" spans="1:12" ht="12">
      <c r="A95" s="363" t="s">
        <v>104</v>
      </c>
      <c r="B95" s="350"/>
      <c r="C95" s="350"/>
      <c r="D95" s="351"/>
      <c r="E95" s="350"/>
      <c r="F95" s="350"/>
      <c r="G95" s="351"/>
      <c r="H95" s="344">
        <v>79</v>
      </c>
      <c r="I95" s="344">
        <v>26000</v>
      </c>
      <c r="J95" s="345">
        <v>2071333</v>
      </c>
      <c r="K95" s="330">
        <f t="shared" si="3"/>
        <v>2071333</v>
      </c>
      <c r="L95" s="331">
        <f t="shared" si="4"/>
        <v>2071333</v>
      </c>
    </row>
    <row r="96" spans="1:12" ht="12">
      <c r="A96" s="363" t="s">
        <v>105</v>
      </c>
      <c r="B96" s="350"/>
      <c r="C96" s="350"/>
      <c r="D96" s="351"/>
      <c r="E96" s="350"/>
      <c r="F96" s="350"/>
      <c r="G96" s="351"/>
      <c r="H96" s="344">
        <v>3</v>
      </c>
      <c r="I96" s="344">
        <v>65000</v>
      </c>
      <c r="J96" s="333">
        <f>H96*I96</f>
        <v>195000</v>
      </c>
      <c r="K96" s="330">
        <f t="shared" si="3"/>
        <v>195000</v>
      </c>
      <c r="L96" s="331">
        <f t="shared" si="4"/>
        <v>195000</v>
      </c>
    </row>
    <row r="97" spans="1:12" s="386" customFormat="1" ht="13.5">
      <c r="A97" s="367" t="s">
        <v>106</v>
      </c>
      <c r="B97" s="384"/>
      <c r="C97" s="384"/>
      <c r="D97" s="370">
        <f>SUM(D90:D94)</f>
        <v>8911577</v>
      </c>
      <c r="E97" s="384"/>
      <c r="F97" s="384"/>
      <c r="G97" s="370">
        <f>SUM(G90:G94)</f>
        <v>6553800</v>
      </c>
      <c r="H97" s="385"/>
      <c r="I97" s="385"/>
      <c r="J97" s="372">
        <f>SUM(J90:J96)</f>
        <v>12186533</v>
      </c>
      <c r="K97" s="340">
        <f t="shared" si="3"/>
        <v>3274956</v>
      </c>
      <c r="L97" s="137">
        <f t="shared" si="4"/>
        <v>5632733</v>
      </c>
    </row>
    <row r="98" spans="1:12" s="390" customFormat="1" ht="12">
      <c r="A98" s="342"/>
      <c r="B98" s="387"/>
      <c r="C98" s="387"/>
      <c r="D98" s="343"/>
      <c r="E98" s="387"/>
      <c r="F98" s="387"/>
      <c r="G98" s="343"/>
      <c r="H98" s="388"/>
      <c r="I98" s="388"/>
      <c r="J98" s="389"/>
      <c r="K98" s="330">
        <f t="shared" si="3"/>
        <v>0</v>
      </c>
      <c r="L98" s="331">
        <f t="shared" si="4"/>
        <v>0</v>
      </c>
    </row>
    <row r="99" spans="1:12" s="386" customFormat="1" ht="13.5">
      <c r="A99" s="335" t="s">
        <v>107</v>
      </c>
      <c r="B99" s="391"/>
      <c r="C99" s="391"/>
      <c r="D99" s="337">
        <f>D88+D97</f>
        <v>970748058</v>
      </c>
      <c r="E99" s="391"/>
      <c r="F99" s="391"/>
      <c r="G99" s="337">
        <f>G88+G97</f>
        <v>841555330</v>
      </c>
      <c r="H99" s="392"/>
      <c r="I99" s="392"/>
      <c r="J99" s="339">
        <f>J88+J97</f>
        <v>879289084</v>
      </c>
      <c r="K99" s="340">
        <f t="shared" si="3"/>
        <v>-91458974</v>
      </c>
      <c r="L99" s="137">
        <f t="shared" si="4"/>
        <v>37733754</v>
      </c>
    </row>
    <row r="100" spans="1:12" s="390" customFormat="1" ht="14.25" customHeight="1">
      <c r="A100" s="342"/>
      <c r="B100" s="387"/>
      <c r="C100" s="387"/>
      <c r="D100" s="343"/>
      <c r="E100" s="387"/>
      <c r="F100" s="387"/>
      <c r="G100" s="387"/>
      <c r="H100" s="388"/>
      <c r="I100" s="388"/>
      <c r="J100" s="389"/>
      <c r="K100" s="330">
        <f t="shared" si="3"/>
        <v>0</v>
      </c>
      <c r="L100" s="331">
        <f t="shared" si="4"/>
        <v>0</v>
      </c>
    </row>
    <row r="101" spans="1:12" s="396" customFormat="1" ht="13.5">
      <c r="A101" s="393" t="s">
        <v>58</v>
      </c>
      <c r="B101" s="394">
        <v>0</v>
      </c>
      <c r="C101" s="394">
        <v>0</v>
      </c>
      <c r="D101" s="394">
        <v>426553280</v>
      </c>
      <c r="E101" s="394">
        <v>0</v>
      </c>
      <c r="F101" s="394">
        <v>0</v>
      </c>
      <c r="G101" s="394">
        <v>426859040</v>
      </c>
      <c r="H101" s="395"/>
      <c r="I101" s="395"/>
      <c r="J101" s="394">
        <v>404938800</v>
      </c>
      <c r="K101" s="330">
        <f t="shared" si="3"/>
        <v>-21614480</v>
      </c>
      <c r="L101" s="331">
        <f t="shared" si="4"/>
        <v>-21920240</v>
      </c>
    </row>
    <row r="102" spans="1:12" s="402" customFormat="1" ht="12">
      <c r="A102" s="397"/>
      <c r="B102" s="398"/>
      <c r="C102" s="398"/>
      <c r="D102" s="399"/>
      <c r="E102" s="398"/>
      <c r="F102" s="398"/>
      <c r="G102" s="400"/>
      <c r="H102" s="401"/>
      <c r="I102" s="401"/>
      <c r="J102" s="389"/>
      <c r="K102" s="330">
        <f t="shared" si="3"/>
        <v>0</v>
      </c>
      <c r="L102" s="331">
        <f t="shared" si="4"/>
        <v>0</v>
      </c>
    </row>
    <row r="103" spans="1:26" s="410" customFormat="1" ht="14.25" thickBot="1">
      <c r="A103" s="403" t="s">
        <v>108</v>
      </c>
      <c r="B103" s="404"/>
      <c r="C103" s="404"/>
      <c r="D103" s="405">
        <f>SUM(D99:D101)</f>
        <v>1397301338</v>
      </c>
      <c r="E103" s="404"/>
      <c r="F103" s="404"/>
      <c r="G103" s="405">
        <f>SUM(G99:G101)</f>
        <v>1268414370</v>
      </c>
      <c r="H103" s="406"/>
      <c r="I103" s="406"/>
      <c r="J103" s="407">
        <f>J14+J34+J86+J97+J101</f>
        <v>1284227884</v>
      </c>
      <c r="K103" s="408">
        <f t="shared" si="3"/>
        <v>-113073454</v>
      </c>
      <c r="L103" s="108">
        <f>J103-G103</f>
        <v>15813514</v>
      </c>
      <c r="M103" s="409"/>
      <c r="N103" s="409"/>
      <c r="O103" s="409"/>
      <c r="P103" s="409"/>
      <c r="Q103" s="409"/>
      <c r="R103" s="409"/>
      <c r="S103" s="409"/>
      <c r="T103" s="409"/>
      <c r="U103" s="409"/>
      <c r="V103" s="409"/>
      <c r="W103" s="409"/>
      <c r="X103" s="409"/>
      <c r="Y103" s="409"/>
      <c r="Z103" s="409"/>
    </row>
    <row r="104" spans="1:12" s="16" customFormat="1" ht="12.75" thickTop="1">
      <c r="A104" s="411"/>
      <c r="B104" s="412"/>
      <c r="C104" s="412"/>
      <c r="D104" s="413"/>
      <c r="E104" s="412"/>
      <c r="F104" s="412"/>
      <c r="G104" s="414"/>
      <c r="H104" s="415"/>
      <c r="I104" s="415"/>
      <c r="J104" s="416"/>
      <c r="K104" s="415"/>
      <c r="L104" s="415"/>
    </row>
    <row r="105" spans="1:7" ht="12.75">
      <c r="A105" s="110"/>
      <c r="G105" s="417"/>
    </row>
  </sheetData>
  <mergeCells count="5">
    <mergeCell ref="A1:L1"/>
    <mergeCell ref="B3:D3"/>
    <mergeCell ref="E3:G3"/>
    <mergeCell ref="H3:J3"/>
    <mergeCell ref="K3:L3"/>
  </mergeCells>
  <printOptions horizontalCentered="1"/>
  <pageMargins left="0.2" right="0.19" top="0.4330708661417323" bottom="0.1968503937007874" header="0.1968503937007874" footer="0.2362204724409449"/>
  <pageSetup horizontalDpi="600" verticalDpi="600" orientation="landscape" paperSize="9" scale="75" r:id="rId1"/>
  <headerFooter alignWithMargins="0">
    <oddHeader>&amp;L&amp;8 15. melléklet a 2/2011.(II.25.) önkormányzati rendelethez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B58"/>
  <sheetViews>
    <sheetView workbookViewId="0" topLeftCell="A21">
      <selection activeCell="A35" sqref="A35"/>
    </sheetView>
  </sheetViews>
  <sheetFormatPr defaultColWidth="9.00390625" defaultRowHeight="12.75"/>
  <cols>
    <col min="1" max="1" width="65.125" style="4" customWidth="1"/>
    <col min="2" max="2" width="11.875" style="9" customWidth="1"/>
    <col min="3" max="16384" width="9.125" style="4" customWidth="1"/>
  </cols>
  <sheetData>
    <row r="1" spans="1:2" ht="15.75">
      <c r="A1" s="973" t="s">
        <v>450</v>
      </c>
      <c r="B1" s="974"/>
    </row>
    <row r="2" spans="1:2" ht="15.75">
      <c r="A2" s="973" t="s">
        <v>250</v>
      </c>
      <c r="B2" s="974"/>
    </row>
    <row r="3" spans="1:2" ht="15.75">
      <c r="A3" s="973" t="s">
        <v>251</v>
      </c>
      <c r="B3" s="974"/>
    </row>
    <row r="4" ht="13.5" thickBot="1"/>
    <row r="5" spans="1:2" ht="13.5" thickTop="1">
      <c r="A5" s="272" t="s">
        <v>451</v>
      </c>
      <c r="B5" s="273"/>
    </row>
    <row r="6" spans="1:2" ht="12.75">
      <c r="A6" s="274" t="s">
        <v>452</v>
      </c>
      <c r="B6" s="115"/>
    </row>
    <row r="7" spans="1:2" ht="12.75">
      <c r="A7" s="274"/>
      <c r="B7" s="275"/>
    </row>
    <row r="8" spans="1:2" ht="12.75">
      <c r="A8" s="36" t="s">
        <v>453</v>
      </c>
      <c r="B8" s="275"/>
    </row>
    <row r="9" spans="1:2" ht="12.75">
      <c r="A9" s="10" t="s">
        <v>252</v>
      </c>
      <c r="B9" s="115"/>
    </row>
    <row r="10" spans="1:2" ht="12.75">
      <c r="A10" s="10" t="s">
        <v>454</v>
      </c>
      <c r="B10" s="115">
        <v>9100</v>
      </c>
    </row>
    <row r="11" spans="1:2" ht="12.75">
      <c r="A11" s="10" t="s">
        <v>455</v>
      </c>
      <c r="B11" s="115">
        <v>86</v>
      </c>
    </row>
    <row r="12" spans="1:2" ht="12.75">
      <c r="A12" s="10" t="s">
        <v>456</v>
      </c>
      <c r="B12" s="115"/>
    </row>
    <row r="13" spans="1:2" ht="12.75">
      <c r="A13" s="112" t="s">
        <v>457</v>
      </c>
      <c r="B13" s="115">
        <v>22000</v>
      </c>
    </row>
    <row r="14" spans="1:2" ht="12.75">
      <c r="A14" s="25" t="s">
        <v>458</v>
      </c>
      <c r="B14" s="103">
        <v>31186</v>
      </c>
    </row>
    <row r="15" spans="1:2" ht="12.75">
      <c r="A15" s="10"/>
      <c r="B15" s="115"/>
    </row>
    <row r="16" spans="1:2" ht="12.75">
      <c r="A16" s="25" t="s">
        <v>253</v>
      </c>
      <c r="B16" s="115"/>
    </row>
    <row r="17" spans="1:2" ht="12.75">
      <c r="A17" s="10" t="s">
        <v>254</v>
      </c>
      <c r="B17" s="115"/>
    </row>
    <row r="18" spans="1:2" ht="12.75">
      <c r="A18" s="10" t="s">
        <v>459</v>
      </c>
      <c r="B18" s="115">
        <v>4300</v>
      </c>
    </row>
    <row r="19" spans="1:2" ht="12.75">
      <c r="A19" s="25" t="s">
        <v>460</v>
      </c>
      <c r="B19" s="103">
        <v>4300</v>
      </c>
    </row>
    <row r="20" spans="1:2" ht="12.75">
      <c r="A20" s="10"/>
      <c r="B20" s="115"/>
    </row>
    <row r="21" spans="1:2" ht="25.5">
      <c r="A21" s="49" t="s">
        <v>461</v>
      </c>
      <c r="B21" s="115"/>
    </row>
    <row r="22" spans="1:2" ht="12.75">
      <c r="A22" s="10"/>
      <c r="B22" s="115"/>
    </row>
    <row r="23" spans="1:2" ht="26.25" customHeight="1">
      <c r="A23" s="25" t="s">
        <v>255</v>
      </c>
      <c r="B23" s="103">
        <v>5000</v>
      </c>
    </row>
    <row r="24" spans="1:2" ht="12.75">
      <c r="A24" s="10"/>
      <c r="B24" s="115"/>
    </row>
    <row r="25" spans="1:2" ht="12.75">
      <c r="A25" s="25" t="s">
        <v>256</v>
      </c>
      <c r="B25" s="115"/>
    </row>
    <row r="26" spans="1:2" ht="12.75">
      <c r="A26" s="10" t="s">
        <v>462</v>
      </c>
      <c r="B26" s="115">
        <v>9055</v>
      </c>
    </row>
    <row r="27" spans="1:2" ht="12.75">
      <c r="A27" s="10" t="s">
        <v>463</v>
      </c>
      <c r="B27" s="115">
        <v>8948</v>
      </c>
    </row>
    <row r="28" spans="1:2" ht="12.75">
      <c r="A28" s="10" t="s">
        <v>464</v>
      </c>
      <c r="B28" s="115">
        <v>15933</v>
      </c>
    </row>
    <row r="29" spans="1:2" ht="12.75">
      <c r="A29" s="10" t="s">
        <v>495</v>
      </c>
      <c r="B29" s="115">
        <v>12258</v>
      </c>
    </row>
    <row r="30" spans="1:2" ht="12.75">
      <c r="A30" s="10" t="s">
        <v>257</v>
      </c>
      <c r="B30" s="115">
        <v>164</v>
      </c>
    </row>
    <row r="31" spans="1:2" ht="12.75">
      <c r="A31" s="10" t="s">
        <v>449</v>
      </c>
      <c r="B31" s="115">
        <v>180</v>
      </c>
    </row>
    <row r="32" spans="1:2" ht="12.75">
      <c r="A32" s="25" t="s">
        <v>466</v>
      </c>
      <c r="B32" s="103">
        <f>SUM(B26:B31)</f>
        <v>46538</v>
      </c>
    </row>
    <row r="33" spans="1:2" ht="12.75">
      <c r="A33" s="10"/>
      <c r="B33" s="115"/>
    </row>
    <row r="34" spans="1:2" ht="12.75">
      <c r="A34" s="25" t="s">
        <v>258</v>
      </c>
      <c r="B34" s="115"/>
    </row>
    <row r="35" spans="1:2" ht="12.75">
      <c r="A35" s="10" t="s">
        <v>462</v>
      </c>
      <c r="B35" s="115">
        <v>0</v>
      </c>
    </row>
    <row r="36" spans="1:2" ht="12.75">
      <c r="A36" s="10" t="s">
        <v>463</v>
      </c>
      <c r="B36" s="115">
        <v>1564</v>
      </c>
    </row>
    <row r="37" spans="1:2" ht="12.75">
      <c r="A37" s="10" t="s">
        <v>464</v>
      </c>
      <c r="B37" s="115">
        <v>611</v>
      </c>
    </row>
    <row r="38" spans="1:2" ht="12.75">
      <c r="A38" s="10" t="s">
        <v>495</v>
      </c>
      <c r="B38" s="115">
        <v>69</v>
      </c>
    </row>
    <row r="39" spans="1:2" ht="12.75">
      <c r="A39" s="10" t="s">
        <v>465</v>
      </c>
      <c r="B39" s="115">
        <v>6105</v>
      </c>
    </row>
    <row r="40" spans="1:2" ht="12.75">
      <c r="A40" s="25" t="s">
        <v>467</v>
      </c>
      <c r="B40" s="103">
        <f>SUM(B35:B39)</f>
        <v>8349</v>
      </c>
    </row>
    <row r="41" spans="1:2" ht="12.75">
      <c r="A41" s="10"/>
      <c r="B41" s="115"/>
    </row>
    <row r="42" spans="1:2" ht="12.75">
      <c r="A42" s="52" t="s">
        <v>468</v>
      </c>
      <c r="B42" s="276">
        <f>SUM(B14+B19+B23+B32+B40)</f>
        <v>95373</v>
      </c>
    </row>
    <row r="43" spans="1:2" ht="12.75">
      <c r="A43" s="10"/>
      <c r="B43" s="115"/>
    </row>
    <row r="44" spans="1:2" ht="12.75">
      <c r="A44" s="25" t="s">
        <v>469</v>
      </c>
      <c r="B44" s="103">
        <f>SUM(B45)</f>
        <v>200</v>
      </c>
    </row>
    <row r="45" spans="1:2" ht="12.75">
      <c r="A45" s="10" t="s">
        <v>398</v>
      </c>
      <c r="B45" s="115">
        <v>200</v>
      </c>
    </row>
    <row r="46" spans="1:2" ht="12.75">
      <c r="A46" s="10"/>
      <c r="B46" s="115"/>
    </row>
    <row r="47" spans="1:2" ht="12.75">
      <c r="A47" s="25" t="s">
        <v>59</v>
      </c>
      <c r="B47" s="103"/>
    </row>
    <row r="48" spans="1:2" ht="12.75">
      <c r="A48" s="52"/>
      <c r="B48" s="173"/>
    </row>
    <row r="49" spans="1:2" ht="12.75">
      <c r="A49" s="52" t="s">
        <v>470</v>
      </c>
      <c r="B49" s="276"/>
    </row>
    <row r="50" spans="1:2" ht="12.75">
      <c r="A50" s="10"/>
      <c r="B50" s="115"/>
    </row>
    <row r="51" spans="1:2" ht="13.5" thickBot="1">
      <c r="A51" s="26" t="s">
        <v>471</v>
      </c>
      <c r="B51" s="146">
        <f>SUM(B42+B44+B47+B49)</f>
        <v>95573</v>
      </c>
    </row>
    <row r="52" ht="13.5" thickTop="1"/>
    <row r="57" spans="1:2" ht="12.75">
      <c r="A57" s="497"/>
      <c r="B57" s="498"/>
    </row>
    <row r="58" spans="1:2" ht="12.75">
      <c r="A58" s="190"/>
      <c r="B58" s="499"/>
    </row>
  </sheetData>
  <mergeCells count="3">
    <mergeCell ref="A1:B1"/>
    <mergeCell ref="A3:B3"/>
    <mergeCell ref="A2:B2"/>
  </mergeCells>
  <printOptions horizontalCentered="1"/>
  <pageMargins left="0.7874015748031497" right="0.7874015748031497" top="0.8661417322834646" bottom="0.79" header="0.5118110236220472" footer="0.5118110236220472"/>
  <pageSetup horizontalDpi="600" verticalDpi="600" orientation="portrait" paperSize="9" r:id="rId1"/>
  <headerFooter alignWithMargins="0">
    <oddHeader>&amp;L&amp;8 16. melléklet a 2/2011.(II.25.) önkormányzati rendelethez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C123"/>
  <sheetViews>
    <sheetView workbookViewId="0" topLeftCell="A1">
      <selection activeCell="A52" sqref="A52"/>
    </sheetView>
  </sheetViews>
  <sheetFormatPr defaultColWidth="9.00390625" defaultRowHeight="12.75"/>
  <cols>
    <col min="1" max="1" width="88.625" style="110" customWidth="1"/>
    <col min="2" max="2" width="13.25390625" style="110" customWidth="1"/>
    <col min="3" max="16384" width="9.125" style="110" customWidth="1"/>
  </cols>
  <sheetData>
    <row r="1" ht="12.75">
      <c r="A1" s="701" t="s">
        <v>289</v>
      </c>
    </row>
    <row r="2" spans="1:2" ht="11.25" customHeight="1">
      <c r="A2" s="975"/>
      <c r="B2" s="975"/>
    </row>
    <row r="3" spans="1:2" ht="12.75">
      <c r="A3" s="975" t="s">
        <v>810</v>
      </c>
      <c r="B3" s="975"/>
    </row>
    <row r="4" spans="1:2" ht="12.75">
      <c r="A4" s="975" t="s">
        <v>388</v>
      </c>
      <c r="B4" s="975"/>
    </row>
    <row r="5" spans="1:2" ht="10.5" customHeight="1">
      <c r="A5" s="688"/>
      <c r="B5" s="688"/>
    </row>
    <row r="6" spans="1:2" ht="12.75">
      <c r="A6" s="976" t="s">
        <v>811</v>
      </c>
      <c r="B6" s="976"/>
    </row>
    <row r="7" spans="1:2" ht="12" customHeight="1" thickBot="1">
      <c r="A7" s="689"/>
      <c r="B7" s="689"/>
    </row>
    <row r="8" spans="1:2" ht="13.5" thickTop="1">
      <c r="A8" s="576" t="s">
        <v>654</v>
      </c>
      <c r="B8" s="169" t="s">
        <v>521</v>
      </c>
    </row>
    <row r="9" spans="1:2" ht="12.75">
      <c r="A9" s="132" t="s">
        <v>519</v>
      </c>
      <c r="B9" s="170">
        <v>410000</v>
      </c>
    </row>
    <row r="10" spans="1:2" ht="12.75">
      <c r="A10" s="132" t="s">
        <v>368</v>
      </c>
      <c r="B10" s="170">
        <v>6468</v>
      </c>
    </row>
    <row r="11" spans="1:2" ht="12.75">
      <c r="A11" s="132" t="s">
        <v>369</v>
      </c>
      <c r="B11" s="170">
        <v>3129</v>
      </c>
    </row>
    <row r="12" spans="1:2" ht="12.75">
      <c r="A12" s="132" t="s">
        <v>518</v>
      </c>
      <c r="B12" s="170">
        <v>28000</v>
      </c>
    </row>
    <row r="13" spans="1:2" ht="13.5">
      <c r="A13" s="577" t="s">
        <v>391</v>
      </c>
      <c r="B13" s="138">
        <f>SUM(B14:B18)</f>
        <v>256498</v>
      </c>
    </row>
    <row r="14" spans="1:3" ht="12.75">
      <c r="A14" s="132" t="s">
        <v>305</v>
      </c>
      <c r="B14" s="170">
        <v>46933</v>
      </c>
      <c r="C14" s="139"/>
    </row>
    <row r="15" spans="1:2" ht="12.75">
      <c r="A15" s="132" t="s">
        <v>306</v>
      </c>
      <c r="B15" s="170">
        <v>43445</v>
      </c>
    </row>
    <row r="16" spans="1:2" ht="12.75">
      <c r="A16" s="132" t="s">
        <v>307</v>
      </c>
      <c r="B16" s="170">
        <v>125177</v>
      </c>
    </row>
    <row r="17" spans="1:2" ht="12.75">
      <c r="A17" s="132" t="s">
        <v>308</v>
      </c>
      <c r="B17" s="170">
        <v>39686</v>
      </c>
    </row>
    <row r="18" spans="1:2" ht="12.75">
      <c r="A18" s="132" t="s">
        <v>476</v>
      </c>
      <c r="B18" s="170">
        <v>1257</v>
      </c>
    </row>
    <row r="19" spans="1:2" ht="12.75">
      <c r="A19" s="133" t="s">
        <v>549</v>
      </c>
      <c r="B19" s="172">
        <f>SUM(B9:B12)+B13</f>
        <v>704095</v>
      </c>
    </row>
    <row r="20" spans="1:2" ht="13.5" thickBot="1">
      <c r="A20" s="708"/>
      <c r="B20" s="709"/>
    </row>
    <row r="21" spans="1:2" ht="21" customHeight="1">
      <c r="A21" s="706" t="s">
        <v>397</v>
      </c>
      <c r="B21" s="707" t="s">
        <v>521</v>
      </c>
    </row>
    <row r="22" spans="1:2" ht="12.75" customHeight="1">
      <c r="A22" s="178"/>
      <c r="B22" s="179"/>
    </row>
    <row r="23" spans="1:2" s="180" customFormat="1" ht="15" customHeight="1">
      <c r="A23" s="188" t="s">
        <v>400</v>
      </c>
      <c r="B23" s="189">
        <v>62072</v>
      </c>
    </row>
    <row r="24" spans="1:2" ht="12.75" customHeight="1">
      <c r="A24" s="178"/>
      <c r="B24" s="187"/>
    </row>
    <row r="25" spans="1:2" s="180" customFormat="1" ht="15" customHeight="1">
      <c r="A25" s="188" t="s">
        <v>399</v>
      </c>
      <c r="B25" s="189">
        <v>12000</v>
      </c>
    </row>
    <row r="26" spans="1:2" ht="12.75" customHeight="1">
      <c r="A26" s="178"/>
      <c r="B26" s="179"/>
    </row>
    <row r="27" spans="1:2" ht="12.75">
      <c r="A27" s="578" t="s">
        <v>114</v>
      </c>
      <c r="B27" s="172">
        <f>SUM(B28:B42)</f>
        <v>364563</v>
      </c>
    </row>
    <row r="28" spans="1:2" ht="12.75">
      <c r="A28" s="132" t="s">
        <v>118</v>
      </c>
      <c r="B28" s="170">
        <v>10500</v>
      </c>
    </row>
    <row r="29" spans="1:2" ht="12.75">
      <c r="A29" s="132" t="s">
        <v>404</v>
      </c>
      <c r="B29" s="170">
        <v>80000</v>
      </c>
    </row>
    <row r="30" spans="1:2" ht="12.75">
      <c r="A30" s="132" t="s">
        <v>119</v>
      </c>
      <c r="B30" s="170">
        <v>146343</v>
      </c>
    </row>
    <row r="31" spans="1:2" ht="12.75">
      <c r="A31" s="702" t="s">
        <v>120</v>
      </c>
      <c r="B31" s="170">
        <v>59352</v>
      </c>
    </row>
    <row r="32" spans="1:2" ht="12.75">
      <c r="A32" s="598" t="s">
        <v>808</v>
      </c>
      <c r="B32" s="596">
        <v>3000</v>
      </c>
    </row>
    <row r="33" spans="1:2" ht="12.75">
      <c r="A33" s="598" t="s">
        <v>115</v>
      </c>
      <c r="B33" s="596">
        <v>20000</v>
      </c>
    </row>
    <row r="34" spans="1:2" ht="12.75">
      <c r="A34" s="598" t="s">
        <v>789</v>
      </c>
      <c r="B34" s="596">
        <v>5813</v>
      </c>
    </row>
    <row r="35" spans="1:2" ht="12.75">
      <c r="A35" s="598" t="s">
        <v>790</v>
      </c>
      <c r="B35" s="596">
        <v>1250</v>
      </c>
    </row>
    <row r="36" spans="1:2" ht="12.75">
      <c r="A36" s="598" t="s">
        <v>421</v>
      </c>
      <c r="B36" s="596">
        <v>18750</v>
      </c>
    </row>
    <row r="37" spans="1:2" ht="12.75">
      <c r="A37" s="598" t="s">
        <v>791</v>
      </c>
      <c r="B37" s="596">
        <v>8750</v>
      </c>
    </row>
    <row r="38" spans="1:2" ht="12.75">
      <c r="A38" s="703" t="s">
        <v>754</v>
      </c>
      <c r="B38" s="596">
        <v>1000</v>
      </c>
    </row>
    <row r="39" spans="1:2" ht="12.75">
      <c r="A39" s="598" t="s">
        <v>393</v>
      </c>
      <c r="B39" s="170">
        <v>3865</v>
      </c>
    </row>
    <row r="40" spans="1:2" ht="12.75">
      <c r="A40" s="703" t="s">
        <v>121</v>
      </c>
      <c r="B40" s="170">
        <v>1240</v>
      </c>
    </row>
    <row r="41" spans="1:2" ht="12.75">
      <c r="A41" s="592" t="s">
        <v>117</v>
      </c>
      <c r="B41" s="170">
        <v>3331</v>
      </c>
    </row>
    <row r="42" spans="1:2" ht="12.75">
      <c r="A42" s="718" t="s">
        <v>809</v>
      </c>
      <c r="B42" s="170">
        <v>1369</v>
      </c>
    </row>
    <row r="43" spans="1:2" ht="12.75">
      <c r="A43" s="598"/>
      <c r="B43" s="596"/>
    </row>
    <row r="44" spans="1:2" ht="12.75">
      <c r="A44" s="704" t="s">
        <v>792</v>
      </c>
      <c r="B44" s="700">
        <f>SUM(B45:B51)</f>
        <v>39841</v>
      </c>
    </row>
    <row r="45" spans="1:2" ht="12.75">
      <c r="A45" s="598" t="s">
        <v>793</v>
      </c>
      <c r="B45" s="596">
        <v>3500</v>
      </c>
    </row>
    <row r="46" spans="1:2" ht="12.75">
      <c r="A46" s="598" t="s">
        <v>60</v>
      </c>
      <c r="B46" s="596">
        <v>7000</v>
      </c>
    </row>
    <row r="47" spans="1:2" ht="12.75">
      <c r="A47" s="598" t="s">
        <v>794</v>
      </c>
      <c r="B47" s="596">
        <v>1000</v>
      </c>
    </row>
    <row r="48" spans="1:2" ht="12.75">
      <c r="A48" s="598" t="s">
        <v>795</v>
      </c>
      <c r="B48" s="596">
        <v>1000</v>
      </c>
    </row>
    <row r="49" spans="1:2" ht="12.75">
      <c r="A49" s="598" t="s">
        <v>796</v>
      </c>
      <c r="B49" s="596">
        <v>13760</v>
      </c>
    </row>
    <row r="50" spans="1:2" ht="12.75">
      <c r="A50" s="598" t="s">
        <v>144</v>
      </c>
      <c r="B50" s="596">
        <v>10000</v>
      </c>
    </row>
    <row r="51" spans="1:2" ht="12.75">
      <c r="A51" s="598" t="s">
        <v>797</v>
      </c>
      <c r="B51" s="596">
        <v>3581</v>
      </c>
    </row>
    <row r="52" spans="1:2" ht="12.75">
      <c r="A52" s="598"/>
      <c r="B52" s="596"/>
    </row>
    <row r="53" spans="1:2" ht="12.75">
      <c r="A53" s="705" t="s">
        <v>243</v>
      </c>
      <c r="B53" s="597">
        <f>SUM(B54:B62)</f>
        <v>222869</v>
      </c>
    </row>
    <row r="54" spans="1:2" ht="12.75">
      <c r="A54" s="598" t="s">
        <v>276</v>
      </c>
      <c r="B54" s="596">
        <v>28000</v>
      </c>
    </row>
    <row r="55" spans="1:2" ht="12.75">
      <c r="A55" s="598" t="s">
        <v>219</v>
      </c>
      <c r="B55" s="596">
        <v>36000</v>
      </c>
    </row>
    <row r="56" spans="1:2" ht="12.75">
      <c r="A56" s="598" t="s">
        <v>280</v>
      </c>
      <c r="B56" s="596">
        <v>2200</v>
      </c>
    </row>
    <row r="57" spans="1:2" ht="12.75">
      <c r="A57" s="598" t="s">
        <v>281</v>
      </c>
      <c r="B57" s="596">
        <v>3536</v>
      </c>
    </row>
    <row r="58" spans="1:2" ht="12.75">
      <c r="A58" s="598" t="s">
        <v>282</v>
      </c>
      <c r="B58" s="596">
        <v>4500</v>
      </c>
    </row>
    <row r="59" spans="1:2" ht="12.75">
      <c r="A59" s="598" t="s">
        <v>61</v>
      </c>
      <c r="B59" s="596">
        <v>21183</v>
      </c>
    </row>
    <row r="60" spans="1:2" ht="12.75">
      <c r="A60" s="598" t="s">
        <v>798</v>
      </c>
      <c r="B60" s="596">
        <v>65875</v>
      </c>
    </row>
    <row r="61" spans="1:2" ht="12.75">
      <c r="A61" s="598" t="s">
        <v>799</v>
      </c>
      <c r="B61" s="596">
        <v>60000</v>
      </c>
    </row>
    <row r="62" spans="1:2" ht="12.75">
      <c r="A62" s="598" t="s">
        <v>800</v>
      </c>
      <c r="B62" s="596">
        <v>1575</v>
      </c>
    </row>
    <row r="63" spans="1:2" ht="12.75">
      <c r="A63" s="132"/>
      <c r="B63" s="171"/>
    </row>
    <row r="64" spans="1:2" ht="12.75">
      <c r="A64" s="133" t="s">
        <v>113</v>
      </c>
      <c r="B64" s="172">
        <f>SUM(B23+B25+B27+B44+B53)</f>
        <v>701345</v>
      </c>
    </row>
    <row r="65" spans="1:2" ht="12.75">
      <c r="A65" s="132"/>
      <c r="B65" s="171"/>
    </row>
    <row r="66" spans="1:2" ht="13.5" thickBot="1">
      <c r="A66" s="181" t="s">
        <v>655</v>
      </c>
      <c r="B66" s="182">
        <f>B19-B64</f>
        <v>2750</v>
      </c>
    </row>
    <row r="67" spans="1:2" ht="13.5" thickTop="1">
      <c r="A67" s="174"/>
      <c r="B67" s="175"/>
    </row>
    <row r="68" spans="1:2" ht="12.75">
      <c r="A68" s="701" t="s">
        <v>288</v>
      </c>
      <c r="B68" s="175"/>
    </row>
    <row r="69" spans="1:2" ht="12.75">
      <c r="A69" s="701"/>
      <c r="B69" s="175"/>
    </row>
    <row r="70" spans="1:2" ht="12.75">
      <c r="A70" s="975" t="s">
        <v>756</v>
      </c>
      <c r="B70" s="967"/>
    </row>
    <row r="71" spans="1:2" ht="13.5" thickBot="1">
      <c r="A71" s="114"/>
      <c r="B71" s="114"/>
    </row>
    <row r="72" spans="1:2" ht="13.5" thickTop="1">
      <c r="A72" s="697"/>
      <c r="B72" s="698" t="s">
        <v>521</v>
      </c>
    </row>
    <row r="73" spans="1:2" ht="12.75">
      <c r="A73" s="696" t="s">
        <v>654</v>
      </c>
      <c r="B73" s="699">
        <f>SUM(B74)</f>
        <v>1000000</v>
      </c>
    </row>
    <row r="74" spans="1:2" ht="12.75">
      <c r="A74" s="132" t="s">
        <v>807</v>
      </c>
      <c r="B74" s="170">
        <v>1000000</v>
      </c>
    </row>
    <row r="75" spans="1:2" ht="12.75">
      <c r="A75" s="133"/>
      <c r="B75" s="172"/>
    </row>
    <row r="76" spans="1:2" ht="12.75">
      <c r="A76" s="692"/>
      <c r="B76" s="693"/>
    </row>
    <row r="77" spans="1:2" ht="12.75">
      <c r="A77" s="692" t="s">
        <v>62</v>
      </c>
      <c r="B77" s="693">
        <f>SUM(B78:B81)</f>
        <v>1232286</v>
      </c>
    </row>
    <row r="78" spans="1:2" ht="12.75">
      <c r="A78" s="694" t="s">
        <v>814</v>
      </c>
      <c r="B78" s="695">
        <v>56264</v>
      </c>
    </row>
    <row r="79" spans="1:2" ht="12.75">
      <c r="A79" s="694" t="s">
        <v>117</v>
      </c>
      <c r="B79" s="695">
        <v>319516</v>
      </c>
    </row>
    <row r="80" spans="1:2" ht="12.75">
      <c r="A80" s="694" t="s">
        <v>809</v>
      </c>
      <c r="B80" s="695">
        <v>699000</v>
      </c>
    </row>
    <row r="81" spans="1:2" ht="12.75">
      <c r="A81" s="694" t="s">
        <v>63</v>
      </c>
      <c r="B81" s="695">
        <v>157506</v>
      </c>
    </row>
    <row r="82" spans="1:2" ht="12.75">
      <c r="A82" s="694"/>
      <c r="B82" s="695"/>
    </row>
    <row r="83" spans="1:2" ht="12.75">
      <c r="A83" s="692" t="s">
        <v>549</v>
      </c>
      <c r="B83" s="693">
        <f>SUM(B73+B77)</f>
        <v>2232286</v>
      </c>
    </row>
    <row r="84" spans="1:2" ht="13.5" thickBot="1">
      <c r="A84" s="183"/>
      <c r="B84" s="184"/>
    </row>
    <row r="85" spans="1:2" ht="12.75">
      <c r="A85" s="185" t="s">
        <v>755</v>
      </c>
      <c r="B85" s="186" t="s">
        <v>521</v>
      </c>
    </row>
    <row r="86" spans="1:2" ht="12.75">
      <c r="A86" s="178"/>
      <c r="B86" s="179"/>
    </row>
    <row r="87" spans="1:2" ht="12.75">
      <c r="A87" s="578" t="s">
        <v>114</v>
      </c>
      <c r="B87" s="172">
        <f>SUM(B88:B97)</f>
        <v>2120550</v>
      </c>
    </row>
    <row r="88" spans="1:2" ht="12.75">
      <c r="A88" s="592" t="s">
        <v>809</v>
      </c>
      <c r="B88" s="593">
        <v>1248631</v>
      </c>
    </row>
    <row r="89" spans="1:2" ht="12.75">
      <c r="A89" s="592" t="s">
        <v>117</v>
      </c>
      <c r="B89" s="593">
        <v>714669</v>
      </c>
    </row>
    <row r="90" spans="1:2" ht="12.75">
      <c r="A90" s="594" t="s">
        <v>815</v>
      </c>
      <c r="B90" s="593">
        <v>130000</v>
      </c>
    </row>
    <row r="91" spans="1:2" ht="12.75">
      <c r="A91" s="594" t="s">
        <v>122</v>
      </c>
      <c r="B91" s="593">
        <v>450</v>
      </c>
    </row>
    <row r="92" spans="1:2" ht="12.75">
      <c r="A92" s="594" t="s">
        <v>24</v>
      </c>
      <c r="B92" s="593">
        <v>4000</v>
      </c>
    </row>
    <row r="93" spans="1:2" ht="12.75">
      <c r="A93" s="594" t="s">
        <v>130</v>
      </c>
      <c r="B93" s="593">
        <v>800</v>
      </c>
    </row>
    <row r="94" spans="1:2" ht="12.75">
      <c r="A94" s="594" t="s">
        <v>133</v>
      </c>
      <c r="B94" s="593"/>
    </row>
    <row r="95" spans="1:2" ht="12.75">
      <c r="A95" s="594" t="s">
        <v>134</v>
      </c>
      <c r="B95" s="593">
        <v>8000</v>
      </c>
    </row>
    <row r="96" spans="1:2" ht="12.75">
      <c r="A96" s="594" t="s">
        <v>135</v>
      </c>
      <c r="B96" s="593">
        <v>10000</v>
      </c>
    </row>
    <row r="97" spans="1:2" ht="12.75">
      <c r="A97" s="594" t="s">
        <v>283</v>
      </c>
      <c r="B97" s="593">
        <v>4000</v>
      </c>
    </row>
    <row r="98" spans="1:2" ht="12.75">
      <c r="A98" s="594"/>
      <c r="B98" s="593"/>
    </row>
    <row r="99" spans="1:2" ht="12.75">
      <c r="A99" s="690" t="s">
        <v>813</v>
      </c>
      <c r="B99" s="687">
        <f>SUM(B100:B102)</f>
        <v>31250</v>
      </c>
    </row>
    <row r="100" spans="1:2" ht="12.75">
      <c r="A100" s="594" t="s">
        <v>138</v>
      </c>
      <c r="B100" s="593">
        <v>5000</v>
      </c>
    </row>
    <row r="101" spans="1:2" ht="12.75">
      <c r="A101" s="594" t="s">
        <v>139</v>
      </c>
      <c r="B101" s="593">
        <v>20000</v>
      </c>
    </row>
    <row r="102" spans="1:2" ht="12.75">
      <c r="A102" s="594" t="s">
        <v>217</v>
      </c>
      <c r="B102" s="593">
        <v>6250</v>
      </c>
    </row>
    <row r="103" spans="1:2" ht="12.75">
      <c r="A103" s="594"/>
      <c r="B103" s="593"/>
    </row>
    <row r="104" spans="1:2" ht="12.75">
      <c r="A104" s="690" t="s">
        <v>243</v>
      </c>
      <c r="B104" s="687">
        <f>SUM(B105:B109)</f>
        <v>70534</v>
      </c>
    </row>
    <row r="105" spans="1:2" ht="12.75">
      <c r="A105" s="594" t="s">
        <v>816</v>
      </c>
      <c r="B105" s="593">
        <v>48363</v>
      </c>
    </row>
    <row r="106" spans="1:2" ht="12.75">
      <c r="A106" s="594" t="s">
        <v>817</v>
      </c>
      <c r="B106" s="593">
        <v>1929</v>
      </c>
    </row>
    <row r="107" spans="1:2" ht="12.75">
      <c r="A107" s="594" t="s">
        <v>275</v>
      </c>
      <c r="B107" s="593">
        <v>10000</v>
      </c>
    </row>
    <row r="108" spans="1:2" ht="12.75">
      <c r="A108" s="594" t="s">
        <v>818</v>
      </c>
      <c r="B108" s="593">
        <v>3975</v>
      </c>
    </row>
    <row r="109" spans="1:2" ht="12.75">
      <c r="A109" s="595" t="s">
        <v>129</v>
      </c>
      <c r="B109" s="596">
        <v>6267</v>
      </c>
    </row>
    <row r="110" spans="1:2" ht="12.75">
      <c r="A110" s="691"/>
      <c r="B110" s="593"/>
    </row>
    <row r="111" spans="1:2" ht="12.75">
      <c r="A111" s="133" t="s">
        <v>113</v>
      </c>
      <c r="B111" s="687">
        <f>SUM(B87+B99+B104)</f>
        <v>2222334</v>
      </c>
    </row>
    <row r="112" spans="1:2" ht="12.75">
      <c r="A112" s="595"/>
      <c r="B112" s="596"/>
    </row>
    <row r="113" spans="1:2" s="111" customFormat="1" ht="13.5" thickBot="1">
      <c r="A113" s="181" t="s">
        <v>655</v>
      </c>
      <c r="B113" s="182">
        <f>SUM(B83-B111)</f>
        <v>9952</v>
      </c>
    </row>
    <row r="114" spans="1:2" ht="13.5" thickTop="1">
      <c r="A114" s="174"/>
      <c r="B114" s="175"/>
    </row>
    <row r="115" spans="1:2" ht="12.75">
      <c r="A115" s="174"/>
      <c r="B115" s="175"/>
    </row>
    <row r="116" spans="1:2" ht="12.75">
      <c r="A116" s="174"/>
      <c r="B116" s="175"/>
    </row>
    <row r="117" spans="1:2" ht="12.75">
      <c r="A117" s="174"/>
      <c r="B117" s="175"/>
    </row>
    <row r="118" spans="1:2" ht="12.75">
      <c r="A118" s="114"/>
      <c r="B118" s="114"/>
    </row>
    <row r="119" spans="1:2" s="111" customFormat="1" ht="12.75">
      <c r="A119" s="174"/>
      <c r="B119" s="174"/>
    </row>
    <row r="120" spans="1:2" ht="12.75">
      <c r="A120" s="114"/>
      <c r="B120" s="114"/>
    </row>
    <row r="121" spans="1:2" ht="13.5">
      <c r="A121" s="176"/>
      <c r="B121" s="177"/>
    </row>
    <row r="122" spans="1:2" ht="12.75">
      <c r="A122" s="114"/>
      <c r="B122" s="114"/>
    </row>
    <row r="123" spans="1:2" ht="13.5">
      <c r="A123" s="176"/>
      <c r="B123" s="177"/>
    </row>
  </sheetData>
  <mergeCells count="5">
    <mergeCell ref="A70:B70"/>
    <mergeCell ref="A2:B2"/>
    <mergeCell ref="A3:B3"/>
    <mergeCell ref="A4:B4"/>
    <mergeCell ref="A6:B6"/>
  </mergeCells>
  <printOptions horizontalCentered="1"/>
  <pageMargins left="0.3937007874015748" right="0.2755905511811024" top="0.25" bottom="0.2362204724409449" header="0.2362204724409449" footer="0.2362204724409449"/>
  <pageSetup horizontalDpi="600" verticalDpi="600" orientation="portrait" paperSize="9" scale="93" r:id="rId1"/>
  <rowBreaks count="1" manualBreakCount="1">
    <brk id="6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61"/>
  <sheetViews>
    <sheetView workbookViewId="0" topLeftCell="A1">
      <selection activeCell="A4" sqref="A4"/>
    </sheetView>
  </sheetViews>
  <sheetFormatPr defaultColWidth="9.00390625" defaultRowHeight="12.75"/>
  <cols>
    <col min="1" max="1" width="52.375" style="13" customWidth="1"/>
    <col min="2" max="2" width="11.75390625" style="13" customWidth="1"/>
    <col min="3" max="3" width="50.25390625" style="13" customWidth="1"/>
    <col min="4" max="4" width="11.75390625" style="13" customWidth="1"/>
    <col min="5" max="16384" width="9.125" style="13" customWidth="1"/>
  </cols>
  <sheetData>
    <row r="1" spans="1:3" ht="12.75">
      <c r="A1" s="168" t="s">
        <v>286</v>
      </c>
      <c r="B1" s="11"/>
      <c r="C1" s="12"/>
    </row>
    <row r="2" ht="12" customHeight="1"/>
    <row r="3" spans="1:4" s="27" customFormat="1" ht="15">
      <c r="A3" s="867" t="s">
        <v>377</v>
      </c>
      <c r="B3" s="868"/>
      <c r="C3" s="868"/>
      <c r="D3" s="869"/>
    </row>
    <row r="4" spans="1:3" ht="15.75" thickBot="1">
      <c r="A4" s="38"/>
      <c r="B4" s="38"/>
      <c r="C4" s="38"/>
    </row>
    <row r="5" spans="1:4" ht="14.25">
      <c r="A5" s="870" t="s">
        <v>539</v>
      </c>
      <c r="B5" s="872"/>
      <c r="C5" s="873" t="s">
        <v>540</v>
      </c>
      <c r="D5" s="874"/>
    </row>
    <row r="6" spans="1:4" ht="15" thickBot="1">
      <c r="A6" s="67"/>
      <c r="B6" s="67" t="s">
        <v>521</v>
      </c>
      <c r="C6" s="67"/>
      <c r="D6" s="67" t="s">
        <v>521</v>
      </c>
    </row>
    <row r="7" spans="1:4" ht="15">
      <c r="A7" s="69" t="s">
        <v>27</v>
      </c>
      <c r="B7" s="487">
        <f>228452-20480</f>
        <v>207972</v>
      </c>
      <c r="C7" s="495" t="s">
        <v>545</v>
      </c>
      <c r="D7" s="494">
        <v>1757298</v>
      </c>
    </row>
    <row r="8" spans="1:4" ht="15">
      <c r="A8" s="70" t="s">
        <v>862</v>
      </c>
      <c r="B8" s="72">
        <v>1949303</v>
      </c>
      <c r="C8" s="70" t="s">
        <v>546</v>
      </c>
      <c r="D8" s="74">
        <v>485937</v>
      </c>
    </row>
    <row r="9" spans="1:4" ht="15">
      <c r="A9" s="70" t="s">
        <v>875</v>
      </c>
      <c r="B9" s="72">
        <v>982909</v>
      </c>
      <c r="C9" s="485" t="s">
        <v>524</v>
      </c>
      <c r="D9" s="74">
        <f>1272890-D49</f>
        <v>1245689</v>
      </c>
    </row>
    <row r="10" spans="1:4" ht="15">
      <c r="A10" s="70" t="s">
        <v>879</v>
      </c>
      <c r="B10" s="72">
        <v>941908</v>
      </c>
      <c r="C10" s="70" t="s">
        <v>826</v>
      </c>
      <c r="D10" s="74">
        <v>326856</v>
      </c>
    </row>
    <row r="11" spans="1:4" ht="15">
      <c r="A11" s="70" t="s">
        <v>838</v>
      </c>
      <c r="B11" s="72">
        <f>SUM(B12:B21)</f>
        <v>96754</v>
      </c>
      <c r="C11" s="70" t="s">
        <v>547</v>
      </c>
      <c r="D11" s="74">
        <v>153115</v>
      </c>
    </row>
    <row r="12" spans="1:4" ht="15">
      <c r="A12" s="70" t="s">
        <v>616</v>
      </c>
      <c r="B12" s="821">
        <v>15000</v>
      </c>
      <c r="C12" s="70" t="s">
        <v>548</v>
      </c>
      <c r="D12" s="74">
        <v>10200</v>
      </c>
    </row>
    <row r="13" spans="1:4" ht="15">
      <c r="A13" s="70" t="s">
        <v>617</v>
      </c>
      <c r="B13" s="821">
        <v>2000</v>
      </c>
      <c r="C13" s="70" t="s">
        <v>600</v>
      </c>
      <c r="D13" s="74">
        <v>11000</v>
      </c>
    </row>
    <row r="14" spans="1:4" ht="15">
      <c r="A14" s="70" t="s">
        <v>624</v>
      </c>
      <c r="B14" s="821">
        <v>2654</v>
      </c>
      <c r="C14" s="75" t="s">
        <v>526</v>
      </c>
      <c r="D14" s="74">
        <v>139986</v>
      </c>
    </row>
    <row r="15" spans="1:4" ht="15">
      <c r="A15" s="70" t="s">
        <v>832</v>
      </c>
      <c r="B15" s="821">
        <v>5000</v>
      </c>
      <c r="C15" s="127" t="s">
        <v>827</v>
      </c>
      <c r="D15" s="74">
        <v>840</v>
      </c>
    </row>
    <row r="16" spans="1:4" ht="15">
      <c r="A16" s="70" t="s">
        <v>687</v>
      </c>
      <c r="B16" s="821">
        <v>34100</v>
      </c>
      <c r="C16" s="70" t="s">
        <v>689</v>
      </c>
      <c r="D16" s="74">
        <f>SUM(D17:D23)</f>
        <v>84754</v>
      </c>
    </row>
    <row r="17" spans="1:4" ht="15">
      <c r="A17" s="70" t="s">
        <v>688</v>
      </c>
      <c r="B17" s="821">
        <v>10000</v>
      </c>
      <c r="C17" s="70" t="s">
        <v>618</v>
      </c>
      <c r="D17" s="823">
        <v>2000</v>
      </c>
    </row>
    <row r="18" spans="1:4" ht="15.75">
      <c r="A18" s="818" t="s">
        <v>562</v>
      </c>
      <c r="B18" s="821">
        <v>8000</v>
      </c>
      <c r="C18" s="70" t="s">
        <v>619</v>
      </c>
      <c r="D18" s="823">
        <v>6000</v>
      </c>
    </row>
    <row r="19" spans="1:4" ht="15.75">
      <c r="A19" s="818" t="s">
        <v>563</v>
      </c>
      <c r="B19" s="821">
        <v>5000</v>
      </c>
      <c r="C19" s="70" t="s">
        <v>624</v>
      </c>
      <c r="D19" s="823">
        <f>2654+10000</f>
        <v>12654</v>
      </c>
    </row>
    <row r="20" spans="1:4" ht="15">
      <c r="A20" s="827" t="s">
        <v>45</v>
      </c>
      <c r="B20" s="821">
        <v>7500</v>
      </c>
      <c r="C20" s="70" t="s">
        <v>830</v>
      </c>
      <c r="D20" s="821">
        <v>34100</v>
      </c>
    </row>
    <row r="21" spans="1:4" ht="15">
      <c r="A21" s="496" t="s">
        <v>40</v>
      </c>
      <c r="B21" s="821">
        <v>7500</v>
      </c>
      <c r="C21" s="70" t="s">
        <v>828</v>
      </c>
      <c r="D21" s="823">
        <v>15000</v>
      </c>
    </row>
    <row r="22" spans="1:4" ht="15">
      <c r="A22" s="496"/>
      <c r="B22" s="496"/>
      <c r="C22" s="70" t="s">
        <v>39</v>
      </c>
      <c r="D22" s="821">
        <v>7500</v>
      </c>
    </row>
    <row r="23" spans="1:4" ht="16.5" thickBot="1">
      <c r="A23" s="820"/>
      <c r="B23" s="820"/>
      <c r="C23" s="818" t="s">
        <v>714</v>
      </c>
      <c r="D23" s="824">
        <v>7500</v>
      </c>
    </row>
    <row r="24" spans="1:256" s="29" customFormat="1" ht="15" thickBot="1">
      <c r="A24" s="76" t="s">
        <v>559</v>
      </c>
      <c r="B24" s="77">
        <f>SUM(B7:B11)</f>
        <v>4178846</v>
      </c>
      <c r="C24" s="825" t="s">
        <v>559</v>
      </c>
      <c r="D24" s="77">
        <f>SUM(D7+D8+D9+D10+D11+D12+D13+D14+D15+D16)</f>
        <v>4215675</v>
      </c>
      <c r="E24" s="493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BW24" s="28"/>
      <c r="BX24" s="28"/>
      <c r="BY24" s="28"/>
      <c r="BZ24" s="28"/>
      <c r="CA24" s="28"/>
      <c r="CB24" s="28"/>
      <c r="CC24" s="28"/>
      <c r="CD24" s="28"/>
      <c r="CE24" s="28"/>
      <c r="CF24" s="28"/>
      <c r="CG24" s="28"/>
      <c r="CH24" s="28"/>
      <c r="CI24" s="28"/>
      <c r="CJ24" s="28"/>
      <c r="CK24" s="28"/>
      <c r="CL24" s="28"/>
      <c r="CM24" s="28"/>
      <c r="CN24" s="28"/>
      <c r="CO24" s="28"/>
      <c r="CP24" s="28"/>
      <c r="CQ24" s="28"/>
      <c r="CR24" s="28"/>
      <c r="CS24" s="28"/>
      <c r="CT24" s="28"/>
      <c r="CU24" s="28"/>
      <c r="CV24" s="28"/>
      <c r="CW24" s="28"/>
      <c r="CX24" s="28"/>
      <c r="CY24" s="28"/>
      <c r="CZ24" s="28"/>
      <c r="DA24" s="28"/>
      <c r="DB24" s="28"/>
      <c r="DC24" s="28"/>
      <c r="DD24" s="28"/>
      <c r="DE24" s="28"/>
      <c r="DF24" s="28"/>
      <c r="DG24" s="28"/>
      <c r="DH24" s="28"/>
      <c r="DI24" s="28"/>
      <c r="DJ24" s="28"/>
      <c r="DK24" s="28"/>
      <c r="DL24" s="28"/>
      <c r="DM24" s="28"/>
      <c r="DN24" s="28"/>
      <c r="DO24" s="28"/>
      <c r="DP24" s="28"/>
      <c r="DQ24" s="28"/>
      <c r="DR24" s="28"/>
      <c r="DS24" s="28"/>
      <c r="DT24" s="28"/>
      <c r="DU24" s="28"/>
      <c r="DV24" s="28"/>
      <c r="DW24" s="28"/>
      <c r="DX24" s="28"/>
      <c r="DY24" s="28"/>
      <c r="DZ24" s="28"/>
      <c r="EA24" s="28"/>
      <c r="EB24" s="28"/>
      <c r="EC24" s="28"/>
      <c r="ED24" s="28"/>
      <c r="EE24" s="28"/>
      <c r="EF24" s="28"/>
      <c r="EG24" s="28"/>
      <c r="EH24" s="28"/>
      <c r="EI24" s="28"/>
      <c r="EJ24" s="28"/>
      <c r="EK24" s="28"/>
      <c r="EL24" s="28"/>
      <c r="EM24" s="28"/>
      <c r="EN24" s="28"/>
      <c r="EO24" s="28"/>
      <c r="EP24" s="28"/>
      <c r="EQ24" s="28"/>
      <c r="ER24" s="28"/>
      <c r="ES24" s="28"/>
      <c r="ET24" s="28"/>
      <c r="EU24" s="28"/>
      <c r="EV24" s="28"/>
      <c r="EW24" s="28"/>
      <c r="EX24" s="28"/>
      <c r="EY24" s="28"/>
      <c r="EZ24" s="28"/>
      <c r="FA24" s="28"/>
      <c r="FB24" s="28"/>
      <c r="FC24" s="28"/>
      <c r="FD24" s="28"/>
      <c r="FE24" s="28"/>
      <c r="FF24" s="28"/>
      <c r="FG24" s="28"/>
      <c r="FH24" s="28"/>
      <c r="FI24" s="28"/>
      <c r="FJ24" s="28"/>
      <c r="FK24" s="28"/>
      <c r="FL24" s="28"/>
      <c r="FM24" s="28"/>
      <c r="FN24" s="28"/>
      <c r="FO24" s="28"/>
      <c r="FP24" s="28"/>
      <c r="FQ24" s="28"/>
      <c r="FR24" s="28"/>
      <c r="FS24" s="28"/>
      <c r="FT24" s="28"/>
      <c r="FU24" s="28"/>
      <c r="FV24" s="28"/>
      <c r="FW24" s="28"/>
      <c r="FX24" s="28"/>
      <c r="FY24" s="28"/>
      <c r="FZ24" s="28"/>
      <c r="GA24" s="28"/>
      <c r="GB24" s="28"/>
      <c r="GC24" s="28"/>
      <c r="GD24" s="28"/>
      <c r="GE24" s="28"/>
      <c r="GF24" s="28"/>
      <c r="GG24" s="28"/>
      <c r="GH24" s="28"/>
      <c r="GI24" s="28"/>
      <c r="GJ24" s="28"/>
      <c r="GK24" s="28"/>
      <c r="GL24" s="28"/>
      <c r="GM24" s="28"/>
      <c r="GN24" s="28"/>
      <c r="GO24" s="28"/>
      <c r="GP24" s="28"/>
      <c r="GQ24" s="28"/>
      <c r="GR24" s="28"/>
      <c r="GS24" s="28"/>
      <c r="GT24" s="28"/>
      <c r="GU24" s="28"/>
      <c r="GV24" s="28"/>
      <c r="GW24" s="28"/>
      <c r="GX24" s="28"/>
      <c r="GY24" s="28"/>
      <c r="GZ24" s="28"/>
      <c r="HA24" s="28"/>
      <c r="HB24" s="28"/>
      <c r="HC24" s="28"/>
      <c r="HD24" s="28"/>
      <c r="HE24" s="28"/>
      <c r="HF24" s="28"/>
      <c r="HG24" s="28"/>
      <c r="HH24" s="28"/>
      <c r="HI24" s="28"/>
      <c r="HJ24" s="28"/>
      <c r="HK24" s="28"/>
      <c r="HL24" s="28"/>
      <c r="HM24" s="28"/>
      <c r="HN24" s="28"/>
      <c r="HO24" s="28"/>
      <c r="HP24" s="28"/>
      <c r="HQ24" s="28"/>
      <c r="HR24" s="28"/>
      <c r="HS24" s="28"/>
      <c r="HT24" s="28"/>
      <c r="HU24" s="28"/>
      <c r="HV24" s="28"/>
      <c r="HW24" s="28"/>
      <c r="HX24" s="28"/>
      <c r="HY24" s="28"/>
      <c r="HZ24" s="28"/>
      <c r="IA24" s="28"/>
      <c r="IB24" s="28"/>
      <c r="IC24" s="28"/>
      <c r="ID24" s="28"/>
      <c r="IE24" s="28"/>
      <c r="IF24" s="28"/>
      <c r="IG24" s="28"/>
      <c r="IH24" s="28"/>
      <c r="II24" s="28"/>
      <c r="IJ24" s="28"/>
      <c r="IK24" s="28"/>
      <c r="IL24" s="28"/>
      <c r="IM24" s="28"/>
      <c r="IN24" s="28"/>
      <c r="IO24" s="28"/>
      <c r="IP24" s="28"/>
      <c r="IQ24" s="28"/>
      <c r="IR24" s="28"/>
      <c r="IS24" s="28"/>
      <c r="IT24" s="28"/>
      <c r="IU24" s="28"/>
      <c r="IV24" s="28"/>
    </row>
    <row r="25" spans="1:5" s="28" customFormat="1" ht="14.25">
      <c r="A25" s="505" t="s">
        <v>535</v>
      </c>
      <c r="B25" s="506"/>
      <c r="C25" s="505"/>
      <c r="D25" s="506"/>
      <c r="E25" s="493"/>
    </row>
    <row r="26" spans="1:5" s="28" customFormat="1" ht="14.25">
      <c r="A26" s="507" t="s">
        <v>395</v>
      </c>
      <c r="B26" s="508">
        <f>SUM(B27:B28)</f>
        <v>36829</v>
      </c>
      <c r="C26" s="507"/>
      <c r="D26" s="508"/>
      <c r="E26" s="493"/>
    </row>
    <row r="27" spans="1:5" s="28" customFormat="1" ht="15">
      <c r="A27" s="70" t="s">
        <v>401</v>
      </c>
      <c r="B27" s="826">
        <v>24829</v>
      </c>
      <c r="C27" s="507"/>
      <c r="D27" s="508"/>
      <c r="E27" s="493"/>
    </row>
    <row r="28" spans="1:5" s="28" customFormat="1" ht="30.75" thickBot="1">
      <c r="A28" s="575" t="s">
        <v>292</v>
      </c>
      <c r="B28" s="826">
        <v>12000</v>
      </c>
      <c r="C28" s="507"/>
      <c r="D28" s="508"/>
      <c r="E28" s="493"/>
    </row>
    <row r="29" spans="1:5" s="28" customFormat="1" ht="15" thickBot="1">
      <c r="A29" s="510" t="s">
        <v>528</v>
      </c>
      <c r="B29" s="511">
        <f>SUM(B24+B26)</f>
        <v>4215675</v>
      </c>
      <c r="C29" s="510" t="s">
        <v>528</v>
      </c>
      <c r="D29" s="512">
        <f>SUM(D24)</f>
        <v>4215675</v>
      </c>
      <c r="E29" s="501"/>
    </row>
    <row r="30" spans="1:4" s="28" customFormat="1" ht="15">
      <c r="A30" s="39"/>
      <c r="B30" s="39"/>
      <c r="C30" s="39"/>
      <c r="D30" s="78"/>
    </row>
    <row r="31" spans="1:4" s="28" customFormat="1" ht="15">
      <c r="A31" s="39"/>
      <c r="B31" s="39"/>
      <c r="C31" s="38"/>
      <c r="D31" s="78"/>
    </row>
    <row r="32" spans="1:4" ht="15">
      <c r="A32" s="732" t="s">
        <v>285</v>
      </c>
      <c r="B32" s="40"/>
      <c r="D32" s="819"/>
    </row>
    <row r="33" spans="1:3" ht="13.5" customHeight="1">
      <c r="A33" s="38"/>
      <c r="B33" s="38"/>
      <c r="C33" s="41"/>
    </row>
    <row r="34" spans="1:4" s="27" customFormat="1" ht="15">
      <c r="A34" s="867" t="s">
        <v>376</v>
      </c>
      <c r="B34" s="868"/>
      <c r="C34" s="868"/>
      <c r="D34" s="869"/>
    </row>
    <row r="35" spans="1:3" ht="14.25" customHeight="1" thickBot="1">
      <c r="A35" s="38"/>
      <c r="B35" s="38"/>
      <c r="C35" s="37"/>
    </row>
    <row r="36" spans="1:4" s="27" customFormat="1" ht="14.25">
      <c r="A36" s="870" t="s">
        <v>539</v>
      </c>
      <c r="B36" s="872"/>
      <c r="C36" s="870" t="s">
        <v>540</v>
      </c>
      <c r="D36" s="871"/>
    </row>
    <row r="37" spans="1:4" s="27" customFormat="1" ht="15" thickBot="1">
      <c r="A37" s="79"/>
      <c r="B37" s="68" t="s">
        <v>521</v>
      </c>
      <c r="C37" s="80"/>
      <c r="D37" s="67" t="s">
        <v>522</v>
      </c>
    </row>
    <row r="38" spans="1:4" s="27" customFormat="1" ht="15">
      <c r="A38" s="71" t="s">
        <v>34</v>
      </c>
      <c r="B38" s="486">
        <v>503910</v>
      </c>
      <c r="C38" s="69" t="s">
        <v>541</v>
      </c>
      <c r="D38" s="487">
        <v>2518644</v>
      </c>
    </row>
    <row r="39" spans="1:4" s="27" customFormat="1" ht="15">
      <c r="A39" s="70" t="s">
        <v>523</v>
      </c>
      <c r="B39" s="81">
        <v>20480</v>
      </c>
      <c r="C39" s="70" t="s">
        <v>550</v>
      </c>
      <c r="D39" s="72">
        <v>117796</v>
      </c>
    </row>
    <row r="40" spans="1:4" ht="15">
      <c r="A40" s="71" t="s">
        <v>833</v>
      </c>
      <c r="B40" s="486">
        <v>1351178</v>
      </c>
      <c r="C40" s="73" t="s">
        <v>894</v>
      </c>
      <c r="D40" s="72">
        <v>303871</v>
      </c>
    </row>
    <row r="41" spans="1:4" ht="15">
      <c r="A41" s="70" t="s">
        <v>552</v>
      </c>
      <c r="B41" s="81">
        <f>SUM(B42:B46)</f>
        <v>11379</v>
      </c>
      <c r="C41" s="70" t="s">
        <v>551</v>
      </c>
      <c r="D41" s="72">
        <v>2102</v>
      </c>
    </row>
    <row r="42" spans="1:4" ht="15">
      <c r="A42" s="70" t="s">
        <v>839</v>
      </c>
      <c r="B42" s="822">
        <v>2500</v>
      </c>
      <c r="C42" s="70" t="s">
        <v>448</v>
      </c>
      <c r="D42" s="72">
        <f>SUM(D43:D47)</f>
        <v>18579</v>
      </c>
    </row>
    <row r="43" spans="1:4" ht="15">
      <c r="A43" s="70" t="s">
        <v>623</v>
      </c>
      <c r="B43" s="822">
        <v>1500</v>
      </c>
      <c r="C43" s="70" t="s">
        <v>621</v>
      </c>
      <c r="D43" s="821">
        <v>5300</v>
      </c>
    </row>
    <row r="44" spans="1:4" ht="15">
      <c r="A44" s="70" t="s">
        <v>564</v>
      </c>
      <c r="B44" s="822">
        <v>600</v>
      </c>
      <c r="C44" s="70" t="s">
        <v>507</v>
      </c>
      <c r="D44" s="821">
        <v>1500</v>
      </c>
    </row>
    <row r="45" spans="1:4" ht="15">
      <c r="A45" s="70" t="s">
        <v>624</v>
      </c>
      <c r="B45" s="822">
        <v>1779</v>
      </c>
      <c r="C45" s="70" t="s">
        <v>622</v>
      </c>
      <c r="D45" s="821">
        <v>5000</v>
      </c>
    </row>
    <row r="46" spans="1:4" ht="15.75">
      <c r="A46" s="579" t="s">
        <v>241</v>
      </c>
      <c r="B46" s="821">
        <v>5000</v>
      </c>
      <c r="C46" s="70" t="s">
        <v>624</v>
      </c>
      <c r="D46" s="821">
        <v>1779</v>
      </c>
    </row>
    <row r="47" spans="1:4" ht="15">
      <c r="A47" s="496"/>
      <c r="B47" s="496"/>
      <c r="C47" s="70" t="s">
        <v>240</v>
      </c>
      <c r="D47" s="821">
        <v>5000</v>
      </c>
    </row>
    <row r="48" spans="1:4" ht="15">
      <c r="A48" s="496"/>
      <c r="B48" s="496"/>
      <c r="C48" s="70" t="s">
        <v>892</v>
      </c>
      <c r="D48" s="72">
        <v>380285</v>
      </c>
    </row>
    <row r="49" spans="1:5" ht="15">
      <c r="A49" s="496"/>
      <c r="B49" s="496"/>
      <c r="C49" s="70" t="s">
        <v>554</v>
      </c>
      <c r="D49" s="72">
        <v>27201</v>
      </c>
      <c r="E49" s="14"/>
    </row>
    <row r="50" spans="1:4" ht="15">
      <c r="A50" s="496"/>
      <c r="B50" s="496"/>
      <c r="C50" s="70" t="s">
        <v>525</v>
      </c>
      <c r="D50" s="72">
        <v>62072</v>
      </c>
    </row>
    <row r="51" spans="1:4" ht="16.5" thickBot="1">
      <c r="A51" s="673"/>
      <c r="B51" s="674"/>
      <c r="C51" s="70" t="s">
        <v>831</v>
      </c>
      <c r="D51" s="72">
        <v>1123</v>
      </c>
    </row>
    <row r="52" spans="1:5" ht="15" thickBot="1">
      <c r="A52" s="514" t="s">
        <v>558</v>
      </c>
      <c r="B52" s="512">
        <f>SUM(B38:B41)</f>
        <v>1886947</v>
      </c>
      <c r="C52" s="514" t="s">
        <v>559</v>
      </c>
      <c r="D52" s="512">
        <f>SUM(D38:D42,D48:D51)</f>
        <v>3431673</v>
      </c>
      <c r="E52" s="14"/>
    </row>
    <row r="53" spans="1:4" ht="14.25">
      <c r="A53" s="515" t="s">
        <v>536</v>
      </c>
      <c r="B53" s="516"/>
      <c r="C53" s="517"/>
      <c r="D53" s="517"/>
    </row>
    <row r="54" spans="1:4" ht="14.25">
      <c r="A54" s="507" t="s">
        <v>395</v>
      </c>
      <c r="B54" s="516">
        <f>SUM(B55:B56)</f>
        <v>1565103</v>
      </c>
      <c r="C54" s="517"/>
      <c r="D54" s="517"/>
    </row>
    <row r="55" spans="1:4" ht="15">
      <c r="A55" s="70" t="s">
        <v>408</v>
      </c>
      <c r="B55" s="81">
        <f>565103</f>
        <v>565103</v>
      </c>
      <c r="C55" s="513"/>
      <c r="D55" s="518"/>
    </row>
    <row r="56" spans="1:4" ht="14.25" customHeight="1" thickBot="1">
      <c r="A56" s="575" t="s">
        <v>407</v>
      </c>
      <c r="B56" s="81">
        <v>1000000</v>
      </c>
      <c r="C56" s="519" t="s">
        <v>560</v>
      </c>
      <c r="D56" s="509">
        <v>20377</v>
      </c>
    </row>
    <row r="57" spans="1:6" ht="15" thickBot="1">
      <c r="A57" s="76" t="s">
        <v>528</v>
      </c>
      <c r="B57" s="77">
        <f>SUM(B52+B54)</f>
        <v>3452050</v>
      </c>
      <c r="C57" s="76" t="s">
        <v>528</v>
      </c>
      <c r="D57" s="77">
        <f>SUM(D52+D56)</f>
        <v>3452050</v>
      </c>
      <c r="E57" s="489"/>
      <c r="F57" s="14"/>
    </row>
    <row r="58" spans="1:5" ht="14.25">
      <c r="A58" s="502"/>
      <c r="B58" s="503"/>
      <c r="C58" s="502"/>
      <c r="D58" s="503"/>
      <c r="E58" s="504"/>
    </row>
    <row r="59" spans="1:3" ht="12.75">
      <c r="A59" s="27"/>
      <c r="B59" s="30"/>
      <c r="C59" s="30"/>
    </row>
    <row r="60" spans="1:3" ht="12.75">
      <c r="A60" s="12"/>
      <c r="B60" s="15"/>
      <c r="C60" s="14"/>
    </row>
    <row r="61" spans="1:5" ht="14.25">
      <c r="A61" s="490" t="s">
        <v>626</v>
      </c>
      <c r="B61" s="492">
        <f>SUM(B57,B29)</f>
        <v>7667725</v>
      </c>
      <c r="C61" s="490" t="s">
        <v>625</v>
      </c>
      <c r="D61" s="491">
        <f>SUM(D24,D57)</f>
        <v>7667725</v>
      </c>
      <c r="E61" s="489"/>
    </row>
  </sheetData>
  <mergeCells count="6">
    <mergeCell ref="A3:D3"/>
    <mergeCell ref="C36:D36"/>
    <mergeCell ref="A36:B36"/>
    <mergeCell ref="C5:D5"/>
    <mergeCell ref="A5:B5"/>
    <mergeCell ref="A34:D34"/>
  </mergeCells>
  <printOptions horizontalCentered="1"/>
  <pageMargins left="0.15748031496062992" right="0.15748031496062992" top="0.65" bottom="0.984251968503937" header="0.15748031496062992" footer="0.15748031496062992"/>
  <pageSetup horizontalDpi="300" verticalDpi="300" orientation="portrait" paperSize="9" scale="7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42"/>
  <sheetViews>
    <sheetView workbookViewId="0" topLeftCell="A1">
      <selection activeCell="J17" sqref="J17"/>
    </sheetView>
  </sheetViews>
  <sheetFormatPr defaultColWidth="9.00390625" defaultRowHeight="12.75"/>
  <cols>
    <col min="1" max="5" width="9.125" style="278" customWidth="1"/>
    <col min="6" max="6" width="15.625" style="278" customWidth="1"/>
    <col min="7" max="7" width="15.00390625" style="278" customWidth="1"/>
    <col min="8" max="16384" width="9.125" style="278" customWidth="1"/>
  </cols>
  <sheetData>
    <row r="1" spans="1:7" ht="15.75">
      <c r="A1" s="987" t="s">
        <v>472</v>
      </c>
      <c r="B1" s="987"/>
      <c r="C1" s="987"/>
      <c r="D1" s="987"/>
      <c r="E1" s="987"/>
      <c r="F1" s="987"/>
      <c r="G1" s="987"/>
    </row>
    <row r="2" spans="1:7" ht="15.75">
      <c r="A2" s="987" t="s">
        <v>389</v>
      </c>
      <c r="B2" s="987"/>
      <c r="C2" s="987"/>
      <c r="D2" s="987"/>
      <c r="E2" s="987"/>
      <c r="F2" s="987"/>
      <c r="G2" s="987"/>
    </row>
    <row r="3" spans="1:9" ht="16.5" thickBot="1">
      <c r="A3" s="284"/>
      <c r="B3" s="284"/>
      <c r="C3" s="284"/>
      <c r="D3" s="284"/>
      <c r="E3" s="285" t="s">
        <v>392</v>
      </c>
      <c r="F3" s="284"/>
      <c r="G3" s="284"/>
      <c r="I3" s="279"/>
    </row>
    <row r="4" spans="1:8" ht="19.5" customHeight="1" thickBot="1" thickTop="1">
      <c r="A4" s="982" t="s">
        <v>473</v>
      </c>
      <c r="B4" s="983"/>
      <c r="C4" s="983"/>
      <c r="D4" s="983"/>
      <c r="E4" s="983"/>
      <c r="F4" s="983"/>
      <c r="G4" s="286" t="s">
        <v>521</v>
      </c>
      <c r="H4" s="280"/>
    </row>
    <row r="5" spans="1:8" s="283" customFormat="1" ht="15.75">
      <c r="A5" s="988" t="s">
        <v>475</v>
      </c>
      <c r="B5" s="989"/>
      <c r="C5" s="989"/>
      <c r="D5" s="989"/>
      <c r="E5" s="989"/>
      <c r="F5" s="989"/>
      <c r="G5" s="287">
        <v>816</v>
      </c>
      <c r="H5" s="282"/>
    </row>
    <row r="6" spans="1:8" ht="15.75">
      <c r="A6" s="977" t="s">
        <v>477</v>
      </c>
      <c r="B6" s="978"/>
      <c r="C6" s="978"/>
      <c r="D6" s="978"/>
      <c r="E6" s="978"/>
      <c r="F6" s="978"/>
      <c r="G6" s="288">
        <f>SUM(G5:G5)</f>
        <v>816</v>
      </c>
      <c r="H6" s="280"/>
    </row>
    <row r="7" spans="1:8" ht="15.75">
      <c r="A7" s="979" t="s">
        <v>596</v>
      </c>
      <c r="B7" s="978"/>
      <c r="C7" s="978"/>
      <c r="D7" s="978"/>
      <c r="E7" s="978"/>
      <c r="F7" s="978"/>
      <c r="G7" s="289">
        <v>566</v>
      </c>
      <c r="H7" s="280"/>
    </row>
    <row r="8" spans="1:8" ht="15.75">
      <c r="A8" s="984" t="s">
        <v>597</v>
      </c>
      <c r="B8" s="985"/>
      <c r="C8" s="985"/>
      <c r="D8" s="985"/>
      <c r="E8" s="985"/>
      <c r="F8" s="986"/>
      <c r="G8" s="568">
        <v>250</v>
      </c>
      <c r="H8" s="280"/>
    </row>
    <row r="9" spans="1:8" ht="16.5" thickBot="1">
      <c r="A9" s="980" t="s">
        <v>474</v>
      </c>
      <c r="B9" s="981"/>
      <c r="C9" s="981"/>
      <c r="D9" s="981"/>
      <c r="E9" s="981"/>
      <c r="F9" s="981"/>
      <c r="G9" s="290">
        <f>SUM(G7:G8)</f>
        <v>816</v>
      </c>
      <c r="H9" s="281"/>
    </row>
    <row r="10" spans="1:8" ht="16.5" thickTop="1">
      <c r="A10" s="291"/>
      <c r="B10" s="291"/>
      <c r="C10" s="291"/>
      <c r="D10" s="291"/>
      <c r="E10" s="291"/>
      <c r="F10" s="291"/>
      <c r="G10" s="291"/>
      <c r="H10" s="280"/>
    </row>
    <row r="11" spans="1:7" ht="15.75">
      <c r="A11" s="284"/>
      <c r="B11" s="284"/>
      <c r="C11" s="284"/>
      <c r="D11" s="284"/>
      <c r="E11" s="284"/>
      <c r="F11" s="284"/>
      <c r="G11" s="284"/>
    </row>
    <row r="12" spans="1:7" ht="15.75">
      <c r="A12" s="987" t="s">
        <v>478</v>
      </c>
      <c r="B12" s="987"/>
      <c r="C12" s="987"/>
      <c r="D12" s="987"/>
      <c r="E12" s="987"/>
      <c r="F12" s="987"/>
      <c r="G12" s="987"/>
    </row>
    <row r="13" spans="1:7" ht="15.75">
      <c r="A13" s="987" t="s">
        <v>389</v>
      </c>
      <c r="B13" s="987"/>
      <c r="C13" s="987"/>
      <c r="D13" s="987"/>
      <c r="E13" s="987"/>
      <c r="F13" s="987"/>
      <c r="G13" s="987"/>
    </row>
    <row r="14" spans="1:9" ht="16.5" thickBot="1">
      <c r="A14" s="284"/>
      <c r="B14" s="284"/>
      <c r="C14" s="284"/>
      <c r="D14" s="284"/>
      <c r="E14" s="285" t="s">
        <v>392</v>
      </c>
      <c r="F14" s="284"/>
      <c r="G14" s="284"/>
      <c r="I14" s="279"/>
    </row>
    <row r="15" spans="1:8" ht="19.5" customHeight="1" thickBot="1" thickTop="1">
      <c r="A15" s="982" t="s">
        <v>473</v>
      </c>
      <c r="B15" s="983"/>
      <c r="C15" s="983"/>
      <c r="D15" s="983"/>
      <c r="E15" s="983"/>
      <c r="F15" s="983"/>
      <c r="G15" s="286" t="s">
        <v>521</v>
      </c>
      <c r="H15" s="280"/>
    </row>
    <row r="16" spans="1:8" s="283" customFormat="1" ht="15.75">
      <c r="A16" s="988" t="s">
        <v>475</v>
      </c>
      <c r="B16" s="989"/>
      <c r="C16" s="989"/>
      <c r="D16" s="989"/>
      <c r="E16" s="989"/>
      <c r="F16" s="989"/>
      <c r="G16" s="287">
        <v>816</v>
      </c>
      <c r="H16" s="282"/>
    </row>
    <row r="17" spans="1:8" ht="15.75">
      <c r="A17" s="977" t="s">
        <v>477</v>
      </c>
      <c r="B17" s="978"/>
      <c r="C17" s="978"/>
      <c r="D17" s="978"/>
      <c r="E17" s="978"/>
      <c r="F17" s="978"/>
      <c r="G17" s="288">
        <f>SUM(G16:G16)</f>
        <v>816</v>
      </c>
      <c r="H17" s="280"/>
    </row>
    <row r="18" spans="1:8" ht="15.75">
      <c r="A18" s="979" t="s">
        <v>596</v>
      </c>
      <c r="B18" s="978"/>
      <c r="C18" s="978"/>
      <c r="D18" s="978"/>
      <c r="E18" s="978"/>
      <c r="F18" s="978"/>
      <c r="G18" s="569">
        <v>566</v>
      </c>
      <c r="H18" s="280"/>
    </row>
    <row r="19" spans="1:8" ht="15.75">
      <c r="A19" s="984" t="s">
        <v>597</v>
      </c>
      <c r="B19" s="985"/>
      <c r="C19" s="985"/>
      <c r="D19" s="985"/>
      <c r="E19" s="985"/>
      <c r="F19" s="986"/>
      <c r="G19" s="289">
        <v>250</v>
      </c>
      <c r="H19" s="280"/>
    </row>
    <row r="20" spans="1:8" ht="16.5" thickBot="1">
      <c r="A20" s="980" t="s">
        <v>474</v>
      </c>
      <c r="B20" s="981"/>
      <c r="C20" s="981"/>
      <c r="D20" s="981"/>
      <c r="E20" s="981"/>
      <c r="F20" s="981"/>
      <c r="G20" s="290">
        <f>SUM(G18:G19)</f>
        <v>816</v>
      </c>
      <c r="H20" s="281"/>
    </row>
    <row r="21" spans="1:7" ht="16.5" thickTop="1">
      <c r="A21" s="284"/>
      <c r="B21" s="284"/>
      <c r="C21" s="284"/>
      <c r="D21" s="284"/>
      <c r="E21" s="284"/>
      <c r="F21" s="284"/>
      <c r="G21" s="284"/>
    </row>
    <row r="22" spans="1:7" ht="15.75">
      <c r="A22" s="284"/>
      <c r="B22" s="284"/>
      <c r="C22" s="284"/>
      <c r="D22" s="284"/>
      <c r="E22" s="284"/>
      <c r="F22" s="284"/>
      <c r="G22" s="284"/>
    </row>
    <row r="23" spans="1:7" ht="15.75">
      <c r="A23" s="987" t="s">
        <v>479</v>
      </c>
      <c r="B23" s="987"/>
      <c r="C23" s="987"/>
      <c r="D23" s="987"/>
      <c r="E23" s="987"/>
      <c r="F23" s="987"/>
      <c r="G23" s="987"/>
    </row>
    <row r="24" spans="1:7" ht="15.75">
      <c r="A24" s="987" t="s">
        <v>389</v>
      </c>
      <c r="B24" s="987"/>
      <c r="C24" s="987"/>
      <c r="D24" s="987"/>
      <c r="E24" s="987"/>
      <c r="F24" s="987"/>
      <c r="G24" s="987"/>
    </row>
    <row r="25" spans="1:9" ht="16.5" thickBot="1">
      <c r="A25" s="284"/>
      <c r="B25" s="284"/>
      <c r="C25" s="284"/>
      <c r="D25" s="284"/>
      <c r="E25" s="285" t="s">
        <v>392</v>
      </c>
      <c r="F25" s="284"/>
      <c r="G25" s="284"/>
      <c r="I25" s="279"/>
    </row>
    <row r="26" spans="1:8" ht="19.5" customHeight="1" thickBot="1" thickTop="1">
      <c r="A26" s="982" t="s">
        <v>473</v>
      </c>
      <c r="B26" s="983"/>
      <c r="C26" s="983"/>
      <c r="D26" s="983"/>
      <c r="E26" s="983"/>
      <c r="F26" s="983"/>
      <c r="G26" s="286" t="s">
        <v>521</v>
      </c>
      <c r="H26" s="280"/>
    </row>
    <row r="27" spans="1:8" s="283" customFormat="1" ht="15.75">
      <c r="A27" s="988" t="s">
        <v>475</v>
      </c>
      <c r="B27" s="989"/>
      <c r="C27" s="989"/>
      <c r="D27" s="989"/>
      <c r="E27" s="989"/>
      <c r="F27" s="989"/>
      <c r="G27" s="287">
        <v>816</v>
      </c>
      <c r="H27" s="282"/>
    </row>
    <row r="28" spans="1:8" ht="15.75">
      <c r="A28" s="977" t="s">
        <v>477</v>
      </c>
      <c r="B28" s="978"/>
      <c r="C28" s="978"/>
      <c r="D28" s="978"/>
      <c r="E28" s="978"/>
      <c r="F28" s="978"/>
      <c r="G28" s="288">
        <f>SUM(G27:G27)</f>
        <v>816</v>
      </c>
      <c r="H28" s="280"/>
    </row>
    <row r="29" spans="1:8" ht="15.75">
      <c r="A29" s="979" t="s">
        <v>596</v>
      </c>
      <c r="B29" s="978"/>
      <c r="C29" s="978"/>
      <c r="D29" s="978"/>
      <c r="E29" s="978"/>
      <c r="F29" s="978"/>
      <c r="G29" s="289">
        <v>566</v>
      </c>
      <c r="H29" s="280"/>
    </row>
    <row r="30" spans="1:8" ht="15.75">
      <c r="A30" s="984" t="s">
        <v>597</v>
      </c>
      <c r="B30" s="985"/>
      <c r="C30" s="985"/>
      <c r="D30" s="985"/>
      <c r="E30" s="985"/>
      <c r="F30" s="986"/>
      <c r="G30" s="568">
        <v>250</v>
      </c>
      <c r="H30" s="280"/>
    </row>
    <row r="31" spans="1:8" ht="16.5" thickBot="1">
      <c r="A31" s="980" t="s">
        <v>474</v>
      </c>
      <c r="B31" s="981"/>
      <c r="C31" s="981"/>
      <c r="D31" s="981"/>
      <c r="E31" s="981"/>
      <c r="F31" s="981"/>
      <c r="G31" s="290">
        <f>SUM(G29:G30)</f>
        <v>816</v>
      </c>
      <c r="H31" s="281"/>
    </row>
    <row r="32" spans="1:7" ht="16.5" thickTop="1">
      <c r="A32" s="284"/>
      <c r="B32" s="284"/>
      <c r="C32" s="284"/>
      <c r="D32" s="284"/>
      <c r="E32" s="284"/>
      <c r="F32" s="284"/>
      <c r="G32" s="284"/>
    </row>
    <row r="33" spans="1:7" ht="15.75">
      <c r="A33" s="284"/>
      <c r="B33" s="284"/>
      <c r="C33" s="284"/>
      <c r="D33" s="284"/>
      <c r="E33" s="284"/>
      <c r="F33" s="284"/>
      <c r="G33" s="284"/>
    </row>
    <row r="34" spans="1:7" ht="15.75">
      <c r="A34" s="987" t="s">
        <v>508</v>
      </c>
      <c r="B34" s="987"/>
      <c r="C34" s="987"/>
      <c r="D34" s="987"/>
      <c r="E34" s="987"/>
      <c r="F34" s="987"/>
      <c r="G34" s="987"/>
    </row>
    <row r="35" spans="1:7" ht="15.75">
      <c r="A35" s="987" t="s">
        <v>389</v>
      </c>
      <c r="B35" s="987"/>
      <c r="C35" s="987"/>
      <c r="D35" s="987"/>
      <c r="E35" s="987"/>
      <c r="F35" s="987"/>
      <c r="G35" s="987"/>
    </row>
    <row r="36" spans="1:9" ht="16.5" thickBot="1">
      <c r="A36" s="284"/>
      <c r="B36" s="284"/>
      <c r="C36" s="284"/>
      <c r="D36" s="284"/>
      <c r="E36" s="285" t="s">
        <v>392</v>
      </c>
      <c r="F36" s="284"/>
      <c r="G36" s="284"/>
      <c r="I36" s="279"/>
    </row>
    <row r="37" spans="1:8" ht="19.5" customHeight="1" thickBot="1" thickTop="1">
      <c r="A37" s="982" t="s">
        <v>473</v>
      </c>
      <c r="B37" s="983"/>
      <c r="C37" s="983"/>
      <c r="D37" s="983"/>
      <c r="E37" s="983"/>
      <c r="F37" s="983"/>
      <c r="G37" s="286" t="s">
        <v>521</v>
      </c>
      <c r="H37" s="280"/>
    </row>
    <row r="38" spans="1:8" s="283" customFormat="1" ht="15.75">
      <c r="A38" s="988" t="s">
        <v>475</v>
      </c>
      <c r="B38" s="989"/>
      <c r="C38" s="989"/>
      <c r="D38" s="989"/>
      <c r="E38" s="989"/>
      <c r="F38" s="989"/>
      <c r="G38" s="570">
        <v>2448</v>
      </c>
      <c r="H38" s="282"/>
    </row>
    <row r="39" spans="1:8" ht="15.75">
      <c r="A39" s="977" t="s">
        <v>477</v>
      </c>
      <c r="B39" s="978"/>
      <c r="C39" s="978"/>
      <c r="D39" s="978"/>
      <c r="E39" s="978"/>
      <c r="F39" s="978"/>
      <c r="G39" s="571">
        <f>SUM(G38:G38)</f>
        <v>2448</v>
      </c>
      <c r="H39" s="280"/>
    </row>
    <row r="40" spans="1:8" ht="15.75">
      <c r="A40" s="979" t="s">
        <v>596</v>
      </c>
      <c r="B40" s="978"/>
      <c r="C40" s="978"/>
      <c r="D40" s="978"/>
      <c r="E40" s="978"/>
      <c r="F40" s="978"/>
      <c r="G40" s="572">
        <v>1698</v>
      </c>
      <c r="H40" s="280"/>
    </row>
    <row r="41" spans="1:8" ht="15.75">
      <c r="A41" s="984" t="s">
        <v>597</v>
      </c>
      <c r="B41" s="985"/>
      <c r="C41" s="985"/>
      <c r="D41" s="985"/>
      <c r="E41" s="985"/>
      <c r="F41" s="986"/>
      <c r="G41" s="573">
        <v>750</v>
      </c>
      <c r="H41" s="280"/>
    </row>
    <row r="42" spans="1:8" ht="16.5" thickBot="1">
      <c r="A42" s="980" t="s">
        <v>474</v>
      </c>
      <c r="B42" s="981"/>
      <c r="C42" s="981"/>
      <c r="D42" s="981"/>
      <c r="E42" s="981"/>
      <c r="F42" s="981"/>
      <c r="G42" s="574">
        <f>SUM(G40:G41)</f>
        <v>2448</v>
      </c>
      <c r="H42" s="281"/>
    </row>
    <row r="43" ht="13.5" thickTop="1"/>
  </sheetData>
  <mergeCells count="32">
    <mergeCell ref="A18:F18"/>
    <mergeCell ref="A12:G12"/>
    <mergeCell ref="A42:F42"/>
    <mergeCell ref="A37:F37"/>
    <mergeCell ref="A38:F38"/>
    <mergeCell ref="A39:F39"/>
    <mergeCell ref="A41:F41"/>
    <mergeCell ref="A27:F27"/>
    <mergeCell ref="A16:F16"/>
    <mergeCell ref="A23:G23"/>
    <mergeCell ref="A6:F6"/>
    <mergeCell ref="A15:F15"/>
    <mergeCell ref="A7:F7"/>
    <mergeCell ref="A8:F8"/>
    <mergeCell ref="A9:F9"/>
    <mergeCell ref="A40:F40"/>
    <mergeCell ref="A34:G34"/>
    <mergeCell ref="A35:G35"/>
    <mergeCell ref="A1:G1"/>
    <mergeCell ref="A2:G2"/>
    <mergeCell ref="A4:F4"/>
    <mergeCell ref="A5:F5"/>
    <mergeCell ref="A17:F17"/>
    <mergeCell ref="A19:F19"/>
    <mergeCell ref="A13:G13"/>
    <mergeCell ref="A28:F28"/>
    <mergeCell ref="A29:F29"/>
    <mergeCell ref="A31:F31"/>
    <mergeCell ref="A20:F20"/>
    <mergeCell ref="A26:F26"/>
    <mergeCell ref="A30:F30"/>
    <mergeCell ref="A24:G24"/>
  </mergeCells>
  <printOptions horizontalCentered="1"/>
  <pageMargins left="0" right="0" top="0.984251968503937" bottom="0" header="0.5118110236220472" footer="0.5118110236220472"/>
  <pageSetup horizontalDpi="300" verticalDpi="300" orientation="portrait" paperSize="9" scale="83" r:id="rId1"/>
  <headerFooter alignWithMargins="0">
    <oddHeader>&amp;L&amp;"Times New Roman,Félkövér"&amp;8 18. melléklet a 2/2011.(II.25.) önkormányzati rendelethez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54"/>
  <sheetViews>
    <sheetView zoomScaleSheetLayoutView="100" workbookViewId="0" topLeftCell="A1">
      <selection activeCell="B33" sqref="B33:B36"/>
    </sheetView>
  </sheetViews>
  <sheetFormatPr defaultColWidth="9.00390625" defaultRowHeight="12.75"/>
  <cols>
    <col min="1" max="1" width="49.625" style="0" customWidth="1"/>
    <col min="2" max="5" width="14.75390625" style="0" customWidth="1"/>
  </cols>
  <sheetData>
    <row r="1" spans="1:5" ht="12.75">
      <c r="A1" s="87"/>
      <c r="B1" s="88"/>
      <c r="C1" s="88"/>
      <c r="D1" s="88"/>
      <c r="E1" s="88"/>
    </row>
    <row r="2" spans="1:5" ht="14.25">
      <c r="A2" s="875" t="s">
        <v>378</v>
      </c>
      <c r="B2" s="875"/>
      <c r="C2" s="875"/>
      <c r="D2" s="875"/>
      <c r="E2" s="869"/>
    </row>
    <row r="3" spans="1:5" ht="15.75" thickBot="1">
      <c r="A3" s="39"/>
      <c r="B3" s="39"/>
      <c r="C3" s="39"/>
      <c r="D3" s="39"/>
      <c r="E3" s="88"/>
    </row>
    <row r="4" spans="1:5" ht="54.75" customHeight="1" thickTop="1">
      <c r="A4" s="89" t="s">
        <v>496</v>
      </c>
      <c r="B4" s="145" t="s">
        <v>606</v>
      </c>
      <c r="C4" s="145" t="s">
        <v>527</v>
      </c>
      <c r="D4" s="145" t="s">
        <v>520</v>
      </c>
      <c r="E4" s="144" t="s">
        <v>530</v>
      </c>
    </row>
    <row r="5" spans="1:5" ht="12.75" customHeight="1">
      <c r="A5" s="90"/>
      <c r="B5" s="91" t="s">
        <v>521</v>
      </c>
      <c r="C5" s="91" t="s">
        <v>521</v>
      </c>
      <c r="D5" s="91" t="s">
        <v>521</v>
      </c>
      <c r="E5" s="134" t="s">
        <v>522</v>
      </c>
    </row>
    <row r="6" spans="1:5" s="472" customFormat="1" ht="12.75" customHeight="1">
      <c r="A6" s="586" t="s">
        <v>27</v>
      </c>
      <c r="B6" s="587">
        <f>SUM(B7:B10)</f>
        <v>81733</v>
      </c>
      <c r="C6" s="587">
        <f>SUM(C7:C10)</f>
        <v>139819</v>
      </c>
      <c r="D6" s="587">
        <f>SUM(D7:D10)</f>
        <v>6900</v>
      </c>
      <c r="E6" s="474">
        <f>SUM(B6:D6)</f>
        <v>228452</v>
      </c>
    </row>
    <row r="7" spans="1:5" ht="12.75" customHeight="1">
      <c r="A7" s="92" t="s">
        <v>74</v>
      </c>
      <c r="B7" s="473">
        <v>8000</v>
      </c>
      <c r="C7" s="473"/>
      <c r="D7" s="473"/>
      <c r="E7" s="488">
        <f aca="true" t="shared" si="0" ref="E7:E52">SUM(B7:D7)</f>
        <v>8000</v>
      </c>
    </row>
    <row r="8" spans="1:5" ht="25.5">
      <c r="A8" s="51" t="s">
        <v>829</v>
      </c>
      <c r="B8" s="473">
        <v>19031</v>
      </c>
      <c r="C8" s="473">
        <v>111304</v>
      </c>
      <c r="D8" s="473">
        <v>6350</v>
      </c>
      <c r="E8" s="488">
        <f t="shared" si="0"/>
        <v>136685</v>
      </c>
    </row>
    <row r="9" spans="1:5" ht="12.75" customHeight="1">
      <c r="A9" s="92" t="s">
        <v>75</v>
      </c>
      <c r="B9" s="473">
        <v>33839</v>
      </c>
      <c r="C9" s="473">
        <v>28515</v>
      </c>
      <c r="D9" s="473">
        <v>50</v>
      </c>
      <c r="E9" s="488">
        <f t="shared" si="0"/>
        <v>62404</v>
      </c>
    </row>
    <row r="10" spans="1:5" ht="12.75" customHeight="1">
      <c r="A10" s="92" t="s">
        <v>861</v>
      </c>
      <c r="B10" s="473">
        <v>20863</v>
      </c>
      <c r="C10" s="473"/>
      <c r="D10" s="473">
        <v>500</v>
      </c>
      <c r="E10" s="488">
        <f t="shared" si="0"/>
        <v>21363</v>
      </c>
    </row>
    <row r="11" spans="1:5" s="105" customFormat="1" ht="12.75" customHeight="1">
      <c r="A11" s="94" t="s">
        <v>862</v>
      </c>
      <c r="B11" s="587">
        <f>SUM(B12,B19,B23,B24,B25,B26)</f>
        <v>1949303</v>
      </c>
      <c r="C11" s="587">
        <f>SUM(C12,C19,C23,C24,C25,C26)</f>
        <v>0</v>
      </c>
      <c r="D11" s="587">
        <f>SUM(D12,D19,D23,D24,D25,D26)</f>
        <v>0</v>
      </c>
      <c r="E11" s="474">
        <f t="shared" si="0"/>
        <v>1949303</v>
      </c>
    </row>
    <row r="12" spans="1:5" ht="12.75" customHeight="1">
      <c r="A12" s="92" t="s">
        <v>28</v>
      </c>
      <c r="B12" s="473">
        <f>SUM(B13:B18)</f>
        <v>1186500</v>
      </c>
      <c r="C12" s="473"/>
      <c r="D12" s="473"/>
      <c r="E12" s="488">
        <f t="shared" si="0"/>
        <v>1186500</v>
      </c>
    </row>
    <row r="13" spans="1:5" ht="12.75" customHeight="1">
      <c r="A13" s="631" t="s">
        <v>863</v>
      </c>
      <c r="B13" s="632">
        <v>195000</v>
      </c>
      <c r="C13" s="632"/>
      <c r="D13" s="632"/>
      <c r="E13" s="633">
        <f t="shared" si="0"/>
        <v>195000</v>
      </c>
    </row>
    <row r="14" spans="1:5" ht="12.75" customHeight="1">
      <c r="A14" s="631" t="s">
        <v>864</v>
      </c>
      <c r="B14" s="632">
        <v>70000</v>
      </c>
      <c r="C14" s="632"/>
      <c r="D14" s="632"/>
      <c r="E14" s="633">
        <f t="shared" si="0"/>
        <v>70000</v>
      </c>
    </row>
    <row r="15" spans="1:5" ht="12.75" customHeight="1">
      <c r="A15" s="631" t="s">
        <v>865</v>
      </c>
      <c r="B15" s="632">
        <v>16000</v>
      </c>
      <c r="C15" s="632"/>
      <c r="D15" s="632"/>
      <c r="E15" s="633">
        <f t="shared" si="0"/>
        <v>16000</v>
      </c>
    </row>
    <row r="16" spans="1:5" ht="12.75" customHeight="1">
      <c r="A16" s="631" t="s">
        <v>866</v>
      </c>
      <c r="B16" s="632">
        <v>890000</v>
      </c>
      <c r="C16" s="632"/>
      <c r="D16" s="632"/>
      <c r="E16" s="633">
        <f t="shared" si="0"/>
        <v>890000</v>
      </c>
    </row>
    <row r="17" spans="1:5" s="630" customFormat="1" ht="12.75">
      <c r="A17" s="631" t="s">
        <v>867</v>
      </c>
      <c r="B17" s="378">
        <v>12000</v>
      </c>
      <c r="C17" s="378"/>
      <c r="D17" s="378"/>
      <c r="E17" s="633">
        <f t="shared" si="0"/>
        <v>12000</v>
      </c>
    </row>
    <row r="18" spans="1:5" ht="12.75">
      <c r="A18" s="634" t="s">
        <v>868</v>
      </c>
      <c r="B18" s="632">
        <v>3500</v>
      </c>
      <c r="C18" s="632"/>
      <c r="D18" s="632"/>
      <c r="E18" s="633">
        <f t="shared" si="0"/>
        <v>3500</v>
      </c>
    </row>
    <row r="19" spans="1:5" ht="12.75">
      <c r="A19" s="92" t="s">
        <v>869</v>
      </c>
      <c r="B19" s="93">
        <f>SUM(B20:B22)</f>
        <v>665239</v>
      </c>
      <c r="C19" s="93"/>
      <c r="D19" s="93"/>
      <c r="E19" s="488">
        <f t="shared" si="0"/>
        <v>665239</v>
      </c>
    </row>
    <row r="20" spans="1:5" ht="12.75">
      <c r="A20" s="631" t="s">
        <v>870</v>
      </c>
      <c r="B20" s="378">
        <v>404939</v>
      </c>
      <c r="C20" s="378"/>
      <c r="D20" s="378"/>
      <c r="E20" s="633">
        <f t="shared" si="0"/>
        <v>404939</v>
      </c>
    </row>
    <row r="21" spans="1:5" ht="12.75">
      <c r="A21" s="631" t="s">
        <v>871</v>
      </c>
      <c r="B21" s="378">
        <v>260000</v>
      </c>
      <c r="C21" s="378"/>
      <c r="D21" s="378"/>
      <c r="E21" s="633">
        <f t="shared" si="0"/>
        <v>260000</v>
      </c>
    </row>
    <row r="22" spans="1:5" ht="12.75">
      <c r="A22" s="631" t="s">
        <v>872</v>
      </c>
      <c r="B22" s="378">
        <v>300</v>
      </c>
      <c r="C22" s="378"/>
      <c r="D22" s="378"/>
      <c r="E22" s="633">
        <f t="shared" si="0"/>
        <v>300</v>
      </c>
    </row>
    <row r="23" spans="1:5" ht="12.75">
      <c r="A23" s="92" t="s">
        <v>873</v>
      </c>
      <c r="B23" s="93">
        <v>3400</v>
      </c>
      <c r="C23" s="93"/>
      <c r="D23" s="93"/>
      <c r="E23" s="488">
        <f t="shared" si="0"/>
        <v>3400</v>
      </c>
    </row>
    <row r="24" spans="1:5" ht="12.75">
      <c r="A24" s="92" t="s">
        <v>70</v>
      </c>
      <c r="B24" s="93">
        <v>3500</v>
      </c>
      <c r="C24" s="93"/>
      <c r="D24" s="93"/>
      <c r="E24" s="488">
        <f t="shared" si="0"/>
        <v>3500</v>
      </c>
    </row>
    <row r="25" spans="1:5" ht="12.75">
      <c r="A25" s="92" t="s">
        <v>874</v>
      </c>
      <c r="B25" s="93">
        <v>34124</v>
      </c>
      <c r="C25" s="93"/>
      <c r="D25" s="93"/>
      <c r="E25" s="488">
        <f t="shared" si="0"/>
        <v>34124</v>
      </c>
    </row>
    <row r="26" spans="1:5" ht="12.75">
      <c r="A26" s="92" t="s">
        <v>72</v>
      </c>
      <c r="B26" s="93">
        <v>56540</v>
      </c>
      <c r="C26" s="93"/>
      <c r="D26" s="93"/>
      <c r="E26" s="488">
        <f t="shared" si="0"/>
        <v>56540</v>
      </c>
    </row>
    <row r="27" spans="1:5" s="105" customFormat="1" ht="12.75">
      <c r="A27" s="94" t="s">
        <v>875</v>
      </c>
      <c r="B27" s="95">
        <f>SUM(B28,B29,B32)</f>
        <v>982909</v>
      </c>
      <c r="C27" s="95">
        <f>SUM(C28,C29,C32)</f>
        <v>0</v>
      </c>
      <c r="D27" s="95">
        <f>SUM(D28,D29,D32)</f>
        <v>0</v>
      </c>
      <c r="E27" s="474">
        <f t="shared" si="0"/>
        <v>982909</v>
      </c>
    </row>
    <row r="28" spans="1:5" ht="12.75">
      <c r="A28" s="92" t="s">
        <v>876</v>
      </c>
      <c r="B28" s="93">
        <v>867102</v>
      </c>
      <c r="C28" s="93"/>
      <c r="D28" s="93"/>
      <c r="E28" s="488">
        <f t="shared" si="0"/>
        <v>867102</v>
      </c>
    </row>
    <row r="29" spans="1:5" s="630" customFormat="1" ht="12.75">
      <c r="A29" s="92" t="s">
        <v>877</v>
      </c>
      <c r="B29" s="93">
        <f>SUM(B30:B31)</f>
        <v>115807</v>
      </c>
      <c r="C29" s="93"/>
      <c r="D29" s="93"/>
      <c r="E29" s="488">
        <f t="shared" si="0"/>
        <v>115807</v>
      </c>
    </row>
    <row r="30" spans="1:5" s="472" customFormat="1" ht="26.25">
      <c r="A30" s="638" t="s">
        <v>878</v>
      </c>
      <c r="B30" s="378">
        <v>103883</v>
      </c>
      <c r="C30" s="340"/>
      <c r="D30" s="340"/>
      <c r="E30" s="633">
        <f t="shared" si="0"/>
        <v>103883</v>
      </c>
    </row>
    <row r="31" spans="1:5" s="472" customFormat="1" ht="12.75">
      <c r="A31" s="639" t="s">
        <v>73</v>
      </c>
      <c r="B31" s="637">
        <f>12187-263</f>
        <v>11924</v>
      </c>
      <c r="C31" s="637"/>
      <c r="D31" s="637"/>
      <c r="E31" s="633">
        <f t="shared" si="0"/>
        <v>11924</v>
      </c>
    </row>
    <row r="32" spans="1:5" ht="12.75">
      <c r="A32" s="92" t="s">
        <v>882</v>
      </c>
      <c r="B32" s="93"/>
      <c r="C32" s="93"/>
      <c r="D32" s="93"/>
      <c r="E32" s="488"/>
    </row>
    <row r="33" spans="1:5" s="105" customFormat="1" ht="12.75">
      <c r="A33" s="94" t="s">
        <v>879</v>
      </c>
      <c r="B33" s="95">
        <f>SUM(B34:B36)</f>
        <v>161250</v>
      </c>
      <c r="C33" s="95">
        <f>SUM(C34:C36)</f>
        <v>45545</v>
      </c>
      <c r="D33" s="95">
        <f>SUM(D34:D36)</f>
        <v>735113</v>
      </c>
      <c r="E33" s="474">
        <f t="shared" si="0"/>
        <v>941908</v>
      </c>
    </row>
    <row r="34" spans="1:5" ht="12.75">
      <c r="A34" s="92" t="s">
        <v>632</v>
      </c>
      <c r="B34" s="93">
        <f>119894+10314+1870+3965+2785+505+1070</f>
        <v>140403</v>
      </c>
      <c r="C34" s="93">
        <v>36490</v>
      </c>
      <c r="D34" s="93">
        <v>7500</v>
      </c>
      <c r="E34" s="488">
        <f t="shared" si="0"/>
        <v>184393</v>
      </c>
    </row>
    <row r="35" spans="1:5" ht="12.75">
      <c r="A35" s="92" t="s">
        <v>880</v>
      </c>
      <c r="B35" s="93"/>
      <c r="C35" s="93"/>
      <c r="D35" s="93">
        <v>727613</v>
      </c>
      <c r="E35" s="488">
        <f t="shared" si="0"/>
        <v>727613</v>
      </c>
    </row>
    <row r="36" spans="1:5" ht="12.75">
      <c r="A36" s="92" t="s">
        <v>33</v>
      </c>
      <c r="B36" s="93">
        <v>20847</v>
      </c>
      <c r="C36" s="93">
        <v>9055</v>
      </c>
      <c r="D36" s="93"/>
      <c r="E36" s="488">
        <f t="shared" si="0"/>
        <v>29902</v>
      </c>
    </row>
    <row r="37" spans="1:5" ht="12.75">
      <c r="A37" s="96" t="s">
        <v>881</v>
      </c>
      <c r="B37" s="95">
        <f>SUM(B38:B44)</f>
        <v>503910</v>
      </c>
      <c r="C37" s="95">
        <f>SUM(C38:C44)</f>
        <v>0</v>
      </c>
      <c r="D37" s="95">
        <f>SUM(D38:D44)</f>
        <v>0</v>
      </c>
      <c r="E37" s="474">
        <f t="shared" si="0"/>
        <v>503910</v>
      </c>
    </row>
    <row r="38" spans="1:5" ht="12.75">
      <c r="A38" s="92" t="s">
        <v>620</v>
      </c>
      <c r="B38" s="93"/>
      <c r="C38" s="93"/>
      <c r="D38" s="93"/>
      <c r="E38" s="488">
        <f t="shared" si="0"/>
        <v>0</v>
      </c>
    </row>
    <row r="39" spans="1:5" ht="12.75">
      <c r="A39" s="92" t="s">
        <v>542</v>
      </c>
      <c r="B39" s="93">
        <v>116636</v>
      </c>
      <c r="C39" s="93"/>
      <c r="D39" s="93"/>
      <c r="E39" s="488">
        <f t="shared" si="0"/>
        <v>116636</v>
      </c>
    </row>
    <row r="40" spans="1:5" s="630" customFormat="1" ht="12.75">
      <c r="A40" s="92" t="s">
        <v>510</v>
      </c>
      <c r="B40" s="93">
        <v>109200</v>
      </c>
      <c r="C40" s="93"/>
      <c r="D40" s="93"/>
      <c r="E40" s="488">
        <f t="shared" si="0"/>
        <v>109200</v>
      </c>
    </row>
    <row r="41" spans="1:5" ht="12.75">
      <c r="A41" s="92" t="s">
        <v>36</v>
      </c>
      <c r="B41" s="93">
        <v>15484</v>
      </c>
      <c r="C41" s="93"/>
      <c r="D41" s="93"/>
      <c r="E41" s="488">
        <f t="shared" si="0"/>
        <v>15484</v>
      </c>
    </row>
    <row r="42" spans="1:5" ht="12.75">
      <c r="A42" s="92" t="s">
        <v>883</v>
      </c>
      <c r="B42" s="93">
        <v>38590</v>
      </c>
      <c r="C42" s="93"/>
      <c r="D42" s="93"/>
      <c r="E42" s="488">
        <f>SUM(B42:D42)</f>
        <v>38590</v>
      </c>
    </row>
    <row r="43" spans="1:5" ht="12.75">
      <c r="A43" s="92" t="s">
        <v>37</v>
      </c>
      <c r="B43" s="93">
        <v>196000</v>
      </c>
      <c r="C43" s="93"/>
      <c r="D43" s="93"/>
      <c r="E43" s="488">
        <f t="shared" si="0"/>
        <v>196000</v>
      </c>
    </row>
    <row r="44" spans="1:5" s="630" customFormat="1" ht="12.75">
      <c r="A44" s="635" t="s">
        <v>884</v>
      </c>
      <c r="B44" s="93">
        <v>28000</v>
      </c>
      <c r="C44" s="93"/>
      <c r="D44" s="93"/>
      <c r="E44" s="488">
        <f t="shared" si="0"/>
        <v>28000</v>
      </c>
    </row>
    <row r="45" spans="1:5" s="105" customFormat="1" ht="12.75">
      <c r="A45" s="96" t="s">
        <v>38</v>
      </c>
      <c r="B45" s="95">
        <f>SUM(B46:B47)</f>
        <v>1351178</v>
      </c>
      <c r="C45" s="95">
        <f>SUM(C46:C49)</f>
        <v>0</v>
      </c>
      <c r="D45" s="95">
        <f>SUM(D46:D49)</f>
        <v>0</v>
      </c>
      <c r="E45" s="474">
        <f t="shared" si="0"/>
        <v>1351178</v>
      </c>
    </row>
    <row r="46" spans="1:5" s="630" customFormat="1" ht="12.75">
      <c r="A46" s="635" t="s">
        <v>885</v>
      </c>
      <c r="B46" s="93">
        <v>0</v>
      </c>
      <c r="C46" s="93"/>
      <c r="D46" s="93"/>
      <c r="E46" s="488">
        <f t="shared" si="0"/>
        <v>0</v>
      </c>
    </row>
    <row r="47" spans="1:5" s="630" customFormat="1" ht="12.75">
      <c r="A47" s="635" t="s">
        <v>65</v>
      </c>
      <c r="B47" s="93">
        <f>SUM(B48:B49)</f>
        <v>1351178</v>
      </c>
      <c r="C47" s="93"/>
      <c r="D47" s="93"/>
      <c r="E47" s="488">
        <f t="shared" si="0"/>
        <v>1351178</v>
      </c>
    </row>
    <row r="48" spans="1:5" s="472" customFormat="1" ht="12.75">
      <c r="A48" s="636" t="s">
        <v>66</v>
      </c>
      <c r="B48" s="637">
        <v>1346313</v>
      </c>
      <c r="C48" s="637"/>
      <c r="D48" s="637"/>
      <c r="E48" s="633">
        <f t="shared" si="0"/>
        <v>1346313</v>
      </c>
    </row>
    <row r="49" spans="1:5" s="472" customFormat="1" ht="12.75">
      <c r="A49" s="636" t="s">
        <v>886</v>
      </c>
      <c r="B49" s="637">
        <v>4865</v>
      </c>
      <c r="C49" s="637"/>
      <c r="D49" s="637"/>
      <c r="E49" s="633">
        <f t="shared" si="0"/>
        <v>4865</v>
      </c>
    </row>
    <row r="50" spans="1:5" s="105" customFormat="1" ht="12.75">
      <c r="A50" s="96" t="s">
        <v>887</v>
      </c>
      <c r="B50" s="95">
        <v>66533</v>
      </c>
      <c r="C50" s="95">
        <v>34100</v>
      </c>
      <c r="D50" s="95">
        <v>7500</v>
      </c>
      <c r="E50" s="474">
        <f>SUM(B50:D50)</f>
        <v>108133</v>
      </c>
    </row>
    <row r="51" spans="1:5" s="630" customFormat="1" ht="12.75">
      <c r="A51" s="96" t="s">
        <v>544</v>
      </c>
      <c r="B51" s="95">
        <v>601932</v>
      </c>
      <c r="C51" s="95"/>
      <c r="D51" s="95"/>
      <c r="E51" s="710">
        <f t="shared" si="0"/>
        <v>601932</v>
      </c>
    </row>
    <row r="52" spans="1:5" s="630" customFormat="1" ht="12.75">
      <c r="A52" s="96" t="s">
        <v>888</v>
      </c>
      <c r="B52" s="95">
        <v>1000000</v>
      </c>
      <c r="C52" s="95"/>
      <c r="D52" s="95"/>
      <c r="E52" s="710">
        <f t="shared" si="0"/>
        <v>1000000</v>
      </c>
    </row>
    <row r="53" spans="1:5" ht="13.5" thickBot="1">
      <c r="A53" s="97" t="s">
        <v>889</v>
      </c>
      <c r="B53" s="98">
        <f>SUM(B6,B11,B27,B33,B37,B45,B50,B51,B52)</f>
        <v>6698748</v>
      </c>
      <c r="C53" s="98">
        <f>SUM(C6,C11,C27,C33,C37,C45,C50)</f>
        <v>219464</v>
      </c>
      <c r="D53" s="98">
        <f>SUM(D6,D11,D27,D33,D37,D45,D50)</f>
        <v>749513</v>
      </c>
      <c r="E53" s="481">
        <f>SUM(B53:D53)</f>
        <v>7667725</v>
      </c>
    </row>
    <row r="54" spans="1:5" ht="13.5" thickTop="1">
      <c r="A54" s="88"/>
      <c r="B54" s="88"/>
      <c r="C54" s="88"/>
      <c r="D54" s="88"/>
      <c r="E54" s="88"/>
    </row>
  </sheetData>
  <mergeCells count="1">
    <mergeCell ref="A2:E2"/>
  </mergeCells>
  <printOptions horizontalCentered="1"/>
  <pageMargins left="0.29" right="0.43" top="0.6692913385826772" bottom="0.2362204724409449" header="0.15748031496062992" footer="0.15748031496062992"/>
  <pageSetup horizontalDpi="600" verticalDpi="600" orientation="portrait" paperSize="9" scale="85" r:id="rId1"/>
  <headerFooter alignWithMargins="0">
    <oddHeader>&amp;L&amp;8 2. melléklet a 2/2011.(II.25.) önkormányzati rendelethez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S272"/>
  <sheetViews>
    <sheetView view="pageBreakPreview" zoomScaleSheetLayoutView="100" workbookViewId="0" topLeftCell="C1">
      <selection activeCell="D23" sqref="D23"/>
    </sheetView>
  </sheetViews>
  <sheetFormatPr defaultColWidth="9.00390625" defaultRowHeight="25.5" customHeight="1"/>
  <cols>
    <col min="1" max="1" width="0.12890625" style="4" hidden="1" customWidth="1"/>
    <col min="2" max="2" width="0" style="4" hidden="1" customWidth="1"/>
    <col min="3" max="3" width="49.125" style="4" customWidth="1"/>
    <col min="4" max="7" width="14.75390625" style="4" customWidth="1"/>
    <col min="8" max="16384" width="9.125" style="4" customWidth="1"/>
  </cols>
  <sheetData>
    <row r="1" spans="3:4" s="1" customFormat="1" ht="13.5" customHeight="1">
      <c r="C1" s="2"/>
      <c r="D1" s="3"/>
    </row>
    <row r="2" s="1" customFormat="1" ht="12.75"/>
    <row r="3" spans="3:7" s="1" customFormat="1" ht="18" customHeight="1">
      <c r="C3" s="876" t="s">
        <v>379</v>
      </c>
      <c r="D3" s="868"/>
      <c r="E3" s="868"/>
      <c r="F3" s="868"/>
      <c r="G3" s="869"/>
    </row>
    <row r="4" spans="3:7" s="1" customFormat="1" ht="18" customHeight="1">
      <c r="C4" s="877" t="s">
        <v>512</v>
      </c>
      <c r="D4" s="877"/>
      <c r="E4" s="877"/>
      <c r="F4" s="877"/>
      <c r="G4" s="869"/>
    </row>
    <row r="5" spans="3:7" s="1" customFormat="1" ht="18" customHeight="1">
      <c r="C5" s="878"/>
      <c r="D5" s="879"/>
      <c r="E5" s="879"/>
      <c r="F5" s="879"/>
      <c r="G5" s="879"/>
    </row>
    <row r="6" spans="3:6" s="1" customFormat="1" ht="18" customHeight="1" thickBot="1">
      <c r="C6" s="42"/>
      <c r="D6" s="42"/>
      <c r="E6" s="42"/>
      <c r="F6" s="42"/>
    </row>
    <row r="7" spans="1:19" ht="56.25" customHeight="1" thickTop="1">
      <c r="A7" s="17"/>
      <c r="B7" s="16"/>
      <c r="C7" s="32" t="s">
        <v>529</v>
      </c>
      <c r="D7" s="140" t="s">
        <v>606</v>
      </c>
      <c r="E7" s="140" t="s">
        <v>527</v>
      </c>
      <c r="F7" s="145" t="s">
        <v>520</v>
      </c>
      <c r="G7" s="144" t="s">
        <v>530</v>
      </c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s="6" customFormat="1" ht="15" customHeight="1">
      <c r="A8" s="18"/>
      <c r="B8" s="19"/>
      <c r="C8" s="33"/>
      <c r="D8" s="43" t="s">
        <v>521</v>
      </c>
      <c r="E8" s="43" t="s">
        <v>521</v>
      </c>
      <c r="F8" s="43" t="s">
        <v>521</v>
      </c>
      <c r="G8" s="135" t="s">
        <v>522</v>
      </c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</row>
    <row r="9" spans="1:19" s="8" customFormat="1" ht="15" customHeight="1">
      <c r="A9" s="20"/>
      <c r="B9" s="21"/>
      <c r="C9" s="36" t="s">
        <v>531</v>
      </c>
      <c r="D9" s="44">
        <v>462182</v>
      </c>
      <c r="E9" s="45">
        <v>891576</v>
      </c>
      <c r="F9" s="45">
        <v>403540</v>
      </c>
      <c r="G9" s="103">
        <f aca="true" t="shared" si="0" ref="G9:G39">SUM(D9+E9+F9)</f>
        <v>1757298</v>
      </c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</row>
    <row r="10" spans="1:19" s="8" customFormat="1" ht="15" customHeight="1">
      <c r="A10" s="20"/>
      <c r="B10" s="21"/>
      <c r="C10" s="25" t="s">
        <v>532</v>
      </c>
      <c r="D10" s="35">
        <v>137547</v>
      </c>
      <c r="E10" s="34">
        <v>237043</v>
      </c>
      <c r="F10" s="34">
        <v>111347</v>
      </c>
      <c r="G10" s="103">
        <f t="shared" si="0"/>
        <v>485937</v>
      </c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</row>
    <row r="11" spans="1:19" ht="15" customHeight="1">
      <c r="A11" s="17"/>
      <c r="B11" s="16"/>
      <c r="C11" s="10" t="s">
        <v>533</v>
      </c>
      <c r="D11" s="47">
        <v>603736</v>
      </c>
      <c r="E11" s="48">
        <v>447353</v>
      </c>
      <c r="F11" s="48">
        <v>221801</v>
      </c>
      <c r="G11" s="115">
        <f>SUM(D11+E11+F11)</f>
        <v>1272890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19" ht="15" customHeight="1">
      <c r="A12" s="17"/>
      <c r="B12" s="16"/>
      <c r="C12" s="10" t="s">
        <v>534</v>
      </c>
      <c r="D12" s="47">
        <v>64174</v>
      </c>
      <c r="E12" s="48"/>
      <c r="F12" s="48"/>
      <c r="G12" s="115">
        <f t="shared" si="0"/>
        <v>64174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1:19" s="8" customFormat="1" ht="15" customHeight="1">
      <c r="A13" s="20"/>
      <c r="B13" s="21"/>
      <c r="C13" s="49" t="s">
        <v>605</v>
      </c>
      <c r="D13" s="46">
        <f>SUM(D11:D12)</f>
        <v>667910</v>
      </c>
      <c r="E13" s="35">
        <f>SUM(E11+E12)</f>
        <v>447353</v>
      </c>
      <c r="F13" s="35">
        <f>SUM(F11+F12)</f>
        <v>221801</v>
      </c>
      <c r="G13" s="103">
        <f t="shared" si="0"/>
        <v>1337064</v>
      </c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</row>
    <row r="14" spans="1:19" s="8" customFormat="1" ht="15" customHeight="1">
      <c r="A14" s="20"/>
      <c r="B14" s="21"/>
      <c r="C14" s="50" t="s">
        <v>890</v>
      </c>
      <c r="D14" s="46">
        <f>SUM(D15:D17)</f>
        <v>478496</v>
      </c>
      <c r="E14" s="46">
        <f>SUM(E15:E17)</f>
        <v>10200</v>
      </c>
      <c r="F14" s="46">
        <f>SUM(F15:F17)</f>
        <v>1475</v>
      </c>
      <c r="G14" s="103">
        <f t="shared" si="0"/>
        <v>490171</v>
      </c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</row>
    <row r="15" spans="1:19" ht="25.5">
      <c r="A15" s="17"/>
      <c r="B15" s="16"/>
      <c r="C15" s="652" t="s">
        <v>891</v>
      </c>
      <c r="D15" s="47">
        <v>325381</v>
      </c>
      <c r="E15" s="48"/>
      <c r="F15" s="48">
        <v>1475</v>
      </c>
      <c r="G15" s="432">
        <f t="shared" si="0"/>
        <v>326856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</row>
    <row r="16" spans="1:19" s="8" customFormat="1" ht="15" customHeight="1">
      <c r="A16" s="20"/>
      <c r="B16" s="21"/>
      <c r="C16" s="648" t="s">
        <v>834</v>
      </c>
      <c r="D16" s="649">
        <v>153115</v>
      </c>
      <c r="E16" s="650"/>
      <c r="F16" s="650"/>
      <c r="G16" s="432">
        <f t="shared" si="0"/>
        <v>153115</v>
      </c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</row>
    <row r="17" spans="1:19" s="8" customFormat="1" ht="15" customHeight="1">
      <c r="A17" s="20"/>
      <c r="B17" s="21"/>
      <c r="C17" s="648" t="s">
        <v>537</v>
      </c>
      <c r="D17" s="649"/>
      <c r="E17" s="650">
        <v>10200</v>
      </c>
      <c r="F17" s="650"/>
      <c r="G17" s="432">
        <f t="shared" si="0"/>
        <v>10200</v>
      </c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</row>
    <row r="18" spans="1:19" s="8" customFormat="1" ht="15" customHeight="1" thickBot="1">
      <c r="A18" s="22"/>
      <c r="B18" s="23"/>
      <c r="C18" s="25" t="s">
        <v>538</v>
      </c>
      <c r="D18" s="35">
        <v>2517144</v>
      </c>
      <c r="E18" s="34">
        <v>0</v>
      </c>
      <c r="F18" s="34">
        <v>1500</v>
      </c>
      <c r="G18" s="103">
        <f t="shared" si="0"/>
        <v>2518644</v>
      </c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</row>
    <row r="19" spans="1:19" s="8" customFormat="1" ht="15" customHeight="1">
      <c r="A19" s="21"/>
      <c r="B19" s="21"/>
      <c r="C19" s="25" t="s">
        <v>511</v>
      </c>
      <c r="D19" s="35">
        <v>99646</v>
      </c>
      <c r="E19" s="34">
        <v>15800</v>
      </c>
      <c r="F19" s="34">
        <v>2350</v>
      </c>
      <c r="G19" s="103">
        <f aca="true" t="shared" si="1" ref="G19:G24">SUM(D19+E19+F19)</f>
        <v>117796</v>
      </c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</row>
    <row r="20" spans="1:19" s="167" customFormat="1" ht="15" customHeight="1">
      <c r="A20" s="653"/>
      <c r="B20" s="653"/>
      <c r="C20" s="479" t="s">
        <v>715</v>
      </c>
      <c r="D20" s="654">
        <v>303871</v>
      </c>
      <c r="E20" s="655"/>
      <c r="F20" s="655"/>
      <c r="G20" s="500">
        <f t="shared" si="1"/>
        <v>303871</v>
      </c>
      <c r="H20" s="656"/>
      <c r="I20" s="656"/>
      <c r="J20" s="656"/>
      <c r="K20" s="656"/>
      <c r="L20" s="656"/>
      <c r="M20" s="656"/>
      <c r="N20" s="656"/>
      <c r="O20" s="656"/>
      <c r="P20" s="656"/>
      <c r="Q20" s="656"/>
      <c r="R20" s="656"/>
      <c r="S20" s="656"/>
    </row>
    <row r="21" spans="1:19" s="167" customFormat="1" ht="15" customHeight="1">
      <c r="A21" s="653"/>
      <c r="B21" s="653"/>
      <c r="C21" s="479" t="s">
        <v>600</v>
      </c>
      <c r="D21" s="654">
        <v>11000</v>
      </c>
      <c r="E21" s="655"/>
      <c r="F21" s="655"/>
      <c r="G21" s="500">
        <f t="shared" si="1"/>
        <v>11000</v>
      </c>
      <c r="H21" s="656"/>
      <c r="I21" s="656"/>
      <c r="J21" s="656"/>
      <c r="K21" s="656"/>
      <c r="L21" s="656"/>
      <c r="M21" s="656"/>
      <c r="N21" s="656"/>
      <c r="O21" s="656"/>
      <c r="P21" s="656"/>
      <c r="Q21" s="656"/>
      <c r="R21" s="656"/>
      <c r="S21" s="656"/>
    </row>
    <row r="22" spans="1:19" s="167" customFormat="1" ht="15" customHeight="1">
      <c r="A22" s="653"/>
      <c r="B22" s="653"/>
      <c r="C22" s="479" t="s">
        <v>526</v>
      </c>
      <c r="D22" s="654">
        <v>139986</v>
      </c>
      <c r="E22" s="655"/>
      <c r="F22" s="655"/>
      <c r="G22" s="500">
        <f t="shared" si="1"/>
        <v>139986</v>
      </c>
      <c r="H22" s="656"/>
      <c r="I22" s="656"/>
      <c r="J22" s="656"/>
      <c r="K22" s="656"/>
      <c r="L22" s="656"/>
      <c r="M22" s="656"/>
      <c r="N22" s="656"/>
      <c r="O22" s="656"/>
      <c r="P22" s="656"/>
      <c r="Q22" s="656"/>
      <c r="R22" s="656"/>
      <c r="S22" s="656"/>
    </row>
    <row r="23" spans="1:19" s="167" customFormat="1" ht="15" customHeight="1">
      <c r="A23" s="653"/>
      <c r="B23" s="653"/>
      <c r="C23" s="479" t="s">
        <v>892</v>
      </c>
      <c r="D23" s="654">
        <v>380285</v>
      </c>
      <c r="E23" s="655"/>
      <c r="F23" s="655"/>
      <c r="G23" s="500">
        <f t="shared" si="1"/>
        <v>380285</v>
      </c>
      <c r="H23" s="656"/>
      <c r="I23" s="656"/>
      <c r="J23" s="656"/>
      <c r="K23" s="656"/>
      <c r="L23" s="656"/>
      <c r="M23" s="656"/>
      <c r="N23" s="656"/>
      <c r="O23" s="656"/>
      <c r="P23" s="656"/>
      <c r="Q23" s="656"/>
      <c r="R23" s="656"/>
      <c r="S23" s="656"/>
    </row>
    <row r="24" spans="1:19" s="167" customFormat="1" ht="15" customHeight="1">
      <c r="A24" s="653"/>
      <c r="B24" s="653"/>
      <c r="C24" s="479" t="s">
        <v>893</v>
      </c>
      <c r="D24" s="654">
        <f>SUM(D25,D28,D36)</f>
        <v>81400</v>
      </c>
      <c r="E24" s="654">
        <f>SUM(E25,E28,E36)</f>
        <v>14433</v>
      </c>
      <c r="F24" s="654">
        <f>SUM(F25,F28,F36)</f>
        <v>7500</v>
      </c>
      <c r="G24" s="500">
        <f t="shared" si="1"/>
        <v>103333</v>
      </c>
      <c r="H24" s="656"/>
      <c r="I24" s="656"/>
      <c r="J24" s="656"/>
      <c r="K24" s="656"/>
      <c r="L24" s="656"/>
      <c r="M24" s="656"/>
      <c r="N24" s="656"/>
      <c r="O24" s="656"/>
      <c r="P24" s="656"/>
      <c r="Q24" s="656"/>
      <c r="R24" s="656"/>
      <c r="S24" s="656"/>
    </row>
    <row r="25" spans="1:19" s="341" customFormat="1" ht="15" customHeight="1">
      <c r="A25" s="657"/>
      <c r="B25" s="657"/>
      <c r="C25" s="648" t="s">
        <v>656</v>
      </c>
      <c r="D25" s="658">
        <f>SUM(D26:D27)</f>
        <v>6800</v>
      </c>
      <c r="E25" s="649"/>
      <c r="F25" s="649"/>
      <c r="G25" s="432">
        <f t="shared" si="0"/>
        <v>6800</v>
      </c>
      <c r="H25" s="651"/>
      <c r="I25" s="651"/>
      <c r="J25" s="651"/>
      <c r="K25" s="651"/>
      <c r="L25" s="651"/>
      <c r="M25" s="651"/>
      <c r="N25" s="651"/>
      <c r="O25" s="651"/>
      <c r="P25" s="651"/>
      <c r="Q25" s="651"/>
      <c r="R25" s="651"/>
      <c r="S25" s="651"/>
    </row>
    <row r="26" spans="1:19" s="386" customFormat="1" ht="15" customHeight="1">
      <c r="A26" s="390"/>
      <c r="B26" s="390"/>
      <c r="C26" s="644" t="s">
        <v>506</v>
      </c>
      <c r="D26" s="645">
        <v>5300</v>
      </c>
      <c r="E26" s="646"/>
      <c r="F26" s="646"/>
      <c r="G26" s="647">
        <f t="shared" si="0"/>
        <v>5300</v>
      </c>
      <c r="H26" s="659"/>
      <c r="I26" s="659"/>
      <c r="J26" s="659"/>
      <c r="K26" s="659"/>
      <c r="L26" s="659"/>
      <c r="M26" s="659"/>
      <c r="N26" s="659"/>
      <c r="O26" s="659"/>
      <c r="P26" s="659"/>
      <c r="Q26" s="659"/>
      <c r="R26" s="659"/>
      <c r="S26" s="659"/>
    </row>
    <row r="27" spans="1:19" s="386" customFormat="1" ht="15" customHeight="1">
      <c r="A27" s="390"/>
      <c r="B27" s="390"/>
      <c r="C27" s="644" t="s">
        <v>507</v>
      </c>
      <c r="D27" s="645">
        <v>1500</v>
      </c>
      <c r="E27" s="646"/>
      <c r="F27" s="646"/>
      <c r="G27" s="647">
        <f t="shared" si="0"/>
        <v>1500</v>
      </c>
      <c r="H27" s="659"/>
      <c r="I27" s="659"/>
      <c r="J27" s="659"/>
      <c r="K27" s="659"/>
      <c r="L27" s="659"/>
      <c r="M27" s="659"/>
      <c r="N27" s="659"/>
      <c r="O27" s="659"/>
      <c r="P27" s="659"/>
      <c r="Q27" s="659"/>
      <c r="R27" s="659"/>
      <c r="S27" s="659"/>
    </row>
    <row r="28" spans="1:19" s="341" customFormat="1" ht="15" customHeight="1">
      <c r="A28" s="657"/>
      <c r="B28" s="657"/>
      <c r="C28" s="648" t="s">
        <v>109</v>
      </c>
      <c r="D28" s="649">
        <f>SUM(D29:D35)</f>
        <v>74600</v>
      </c>
      <c r="E28" s="649">
        <f>SUM(E29:E31)</f>
        <v>0</v>
      </c>
      <c r="F28" s="649">
        <f>SUM(F29:F31)</f>
        <v>0</v>
      </c>
      <c r="G28" s="432">
        <f t="shared" si="0"/>
        <v>74600</v>
      </c>
      <c r="H28" s="651"/>
      <c r="I28" s="651"/>
      <c r="J28" s="651"/>
      <c r="K28" s="651"/>
      <c r="L28" s="651"/>
      <c r="M28" s="651"/>
      <c r="N28" s="651"/>
      <c r="O28" s="651"/>
      <c r="P28" s="651"/>
      <c r="Q28" s="651"/>
      <c r="R28" s="651"/>
      <c r="S28" s="651"/>
    </row>
    <row r="29" spans="1:19" s="386" customFormat="1" ht="15" customHeight="1">
      <c r="A29" s="390"/>
      <c r="B29" s="390"/>
      <c r="C29" s="644" t="s">
        <v>840</v>
      </c>
      <c r="D29" s="645">
        <v>2000</v>
      </c>
      <c r="E29" s="646"/>
      <c r="F29" s="646"/>
      <c r="G29" s="647">
        <f t="shared" si="0"/>
        <v>2000</v>
      </c>
      <c r="H29" s="659"/>
      <c r="I29" s="659"/>
      <c r="J29" s="659"/>
      <c r="K29" s="659"/>
      <c r="L29" s="659"/>
      <c r="M29" s="659"/>
      <c r="N29" s="659"/>
      <c r="O29" s="659"/>
      <c r="P29" s="659"/>
      <c r="Q29" s="659"/>
      <c r="R29" s="659"/>
      <c r="S29" s="659"/>
    </row>
    <row r="30" spans="1:19" s="386" customFormat="1" ht="15" customHeight="1">
      <c r="A30" s="390"/>
      <c r="B30" s="390"/>
      <c r="C30" s="644" t="s">
        <v>110</v>
      </c>
      <c r="D30" s="645">
        <v>5000</v>
      </c>
      <c r="E30" s="646"/>
      <c r="F30" s="646"/>
      <c r="G30" s="647">
        <f t="shared" si="0"/>
        <v>5000</v>
      </c>
      <c r="H30" s="659"/>
      <c r="I30" s="659"/>
      <c r="J30" s="659"/>
      <c r="K30" s="659"/>
      <c r="L30" s="659"/>
      <c r="M30" s="659"/>
      <c r="N30" s="659"/>
      <c r="O30" s="659"/>
      <c r="P30" s="659"/>
      <c r="Q30" s="659"/>
      <c r="R30" s="659"/>
      <c r="S30" s="659"/>
    </row>
    <row r="31" spans="1:19" s="386" customFormat="1" ht="15" customHeight="1">
      <c r="A31" s="390"/>
      <c r="B31" s="390"/>
      <c r="C31" s="644" t="s">
        <v>111</v>
      </c>
      <c r="D31" s="645">
        <v>6000</v>
      </c>
      <c r="E31" s="646"/>
      <c r="F31" s="646"/>
      <c r="G31" s="647">
        <f t="shared" si="0"/>
        <v>6000</v>
      </c>
      <c r="H31" s="659"/>
      <c r="I31" s="659"/>
      <c r="J31" s="659"/>
      <c r="K31" s="659"/>
      <c r="L31" s="659"/>
      <c r="M31" s="659"/>
      <c r="N31" s="659"/>
      <c r="O31" s="659"/>
      <c r="P31" s="659"/>
      <c r="Q31" s="659"/>
      <c r="R31" s="659"/>
      <c r="S31" s="659"/>
    </row>
    <row r="32" spans="1:19" s="386" customFormat="1" ht="15" customHeight="1">
      <c r="A32" s="390"/>
      <c r="B32" s="390"/>
      <c r="C32" s="660" t="s">
        <v>860</v>
      </c>
      <c r="D32" s="645">
        <v>15000</v>
      </c>
      <c r="E32" s="646"/>
      <c r="F32" s="646"/>
      <c r="G32" s="647">
        <f t="shared" si="0"/>
        <v>15000</v>
      </c>
      <c r="H32" s="659"/>
      <c r="I32" s="659"/>
      <c r="J32" s="659"/>
      <c r="K32" s="659"/>
      <c r="L32" s="659"/>
      <c r="M32" s="659"/>
      <c r="N32" s="659"/>
      <c r="O32" s="659"/>
      <c r="P32" s="659"/>
      <c r="Q32" s="659"/>
      <c r="R32" s="659"/>
      <c r="S32" s="659"/>
    </row>
    <row r="33" spans="1:19" s="386" customFormat="1" ht="26.25">
      <c r="A33" s="390"/>
      <c r="B33" s="390"/>
      <c r="C33" s="671" t="s">
        <v>690</v>
      </c>
      <c r="D33" s="645">
        <v>34100</v>
      </c>
      <c r="E33" s="646"/>
      <c r="F33" s="646"/>
      <c r="G33" s="647">
        <f t="shared" si="0"/>
        <v>34100</v>
      </c>
      <c r="H33" s="659"/>
      <c r="I33" s="659"/>
      <c r="J33" s="659"/>
      <c r="K33" s="659"/>
      <c r="L33" s="659"/>
      <c r="M33" s="659"/>
      <c r="N33" s="659"/>
      <c r="O33" s="659"/>
      <c r="P33" s="659"/>
      <c r="Q33" s="659"/>
      <c r="R33" s="659"/>
      <c r="S33" s="659"/>
    </row>
    <row r="34" spans="1:19" s="386" customFormat="1" ht="15" customHeight="1">
      <c r="A34" s="390"/>
      <c r="B34" s="390"/>
      <c r="C34" s="660" t="s">
        <v>239</v>
      </c>
      <c r="D34" s="645">
        <v>5000</v>
      </c>
      <c r="E34" s="646"/>
      <c r="F34" s="646"/>
      <c r="G34" s="647">
        <f t="shared" si="0"/>
        <v>5000</v>
      </c>
      <c r="H34" s="659"/>
      <c r="I34" s="659"/>
      <c r="J34" s="659"/>
      <c r="K34" s="659"/>
      <c r="L34" s="659"/>
      <c r="M34" s="659"/>
      <c r="N34" s="659"/>
      <c r="O34" s="659"/>
      <c r="P34" s="659"/>
      <c r="Q34" s="659"/>
      <c r="R34" s="659"/>
      <c r="S34" s="659"/>
    </row>
    <row r="35" spans="1:19" s="386" customFormat="1" ht="15" customHeight="1">
      <c r="A35" s="390"/>
      <c r="B35" s="390"/>
      <c r="C35" s="660" t="s">
        <v>713</v>
      </c>
      <c r="D35" s="645">
        <v>7500</v>
      </c>
      <c r="E35" s="646"/>
      <c r="F35" s="646"/>
      <c r="G35" s="647">
        <f t="shared" si="0"/>
        <v>7500</v>
      </c>
      <c r="H35" s="659"/>
      <c r="I35" s="659"/>
      <c r="J35" s="659"/>
      <c r="K35" s="659"/>
      <c r="L35" s="659"/>
      <c r="M35" s="659"/>
      <c r="N35" s="659"/>
      <c r="O35" s="659"/>
      <c r="P35" s="659"/>
      <c r="Q35" s="659"/>
      <c r="R35" s="659"/>
      <c r="S35" s="659"/>
    </row>
    <row r="36" spans="1:19" s="341" customFormat="1" ht="15" customHeight="1">
      <c r="A36" s="657"/>
      <c r="B36" s="657"/>
      <c r="C36" s="661" t="s">
        <v>47</v>
      </c>
      <c r="D36" s="649"/>
      <c r="E36" s="650">
        <v>14433</v>
      </c>
      <c r="F36" s="650">
        <v>7500</v>
      </c>
      <c r="G36" s="432">
        <f t="shared" si="0"/>
        <v>21933</v>
      </c>
      <c r="H36" s="672"/>
      <c r="I36" s="651"/>
      <c r="J36" s="651"/>
      <c r="K36" s="651"/>
      <c r="L36" s="651"/>
      <c r="M36" s="651"/>
      <c r="N36" s="651"/>
      <c r="O36" s="651"/>
      <c r="P36" s="651"/>
      <c r="Q36" s="651"/>
      <c r="R36" s="651"/>
      <c r="S36" s="651"/>
    </row>
    <row r="37" spans="1:19" s="8" customFormat="1" ht="15" customHeight="1">
      <c r="A37" s="24"/>
      <c r="B37" s="24"/>
      <c r="C37" s="50" t="s">
        <v>112</v>
      </c>
      <c r="D37" s="102">
        <f>SUM(D38:D39)</f>
        <v>1963</v>
      </c>
      <c r="E37" s="102">
        <f>SUM(E38:E39)</f>
        <v>0</v>
      </c>
      <c r="F37" s="102">
        <f>SUM(F38:F39)</f>
        <v>0</v>
      </c>
      <c r="G37" s="103">
        <f t="shared" si="0"/>
        <v>1963</v>
      </c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</row>
    <row r="38" spans="1:19" s="341" customFormat="1" ht="15" customHeight="1">
      <c r="A38" s="657"/>
      <c r="B38" s="657"/>
      <c r="C38" s="661" t="s">
        <v>895</v>
      </c>
      <c r="D38" s="662">
        <v>840</v>
      </c>
      <c r="E38" s="663"/>
      <c r="F38" s="663"/>
      <c r="G38" s="432">
        <f t="shared" si="0"/>
        <v>840</v>
      </c>
      <c r="H38" s="651"/>
      <c r="I38" s="651"/>
      <c r="J38" s="651"/>
      <c r="K38" s="651"/>
      <c r="L38" s="651"/>
      <c r="M38" s="651"/>
      <c r="N38" s="651"/>
      <c r="O38" s="651"/>
      <c r="P38" s="651"/>
      <c r="Q38" s="651"/>
      <c r="R38" s="651"/>
      <c r="S38" s="651"/>
    </row>
    <row r="39" spans="1:19" s="341" customFormat="1" ht="15" customHeight="1">
      <c r="A39" s="657"/>
      <c r="B39" s="657"/>
      <c r="C39" s="661" t="s">
        <v>896</v>
      </c>
      <c r="D39" s="662">
        <v>1123</v>
      </c>
      <c r="E39" s="663"/>
      <c r="F39" s="663"/>
      <c r="G39" s="432">
        <f t="shared" si="0"/>
        <v>1123</v>
      </c>
      <c r="H39" s="651"/>
      <c r="I39" s="651"/>
      <c r="J39" s="651"/>
      <c r="K39" s="651"/>
      <c r="L39" s="651"/>
      <c r="M39" s="651"/>
      <c r="N39" s="651"/>
      <c r="O39" s="651"/>
      <c r="P39" s="651"/>
      <c r="Q39" s="651"/>
      <c r="R39" s="651"/>
      <c r="S39" s="651"/>
    </row>
    <row r="40" spans="1:19" s="8" customFormat="1" ht="15" customHeight="1">
      <c r="A40" s="24"/>
      <c r="B40" s="24"/>
      <c r="C40" s="25" t="s">
        <v>46</v>
      </c>
      <c r="D40" s="35">
        <v>20377</v>
      </c>
      <c r="E40" s="34"/>
      <c r="F40" s="34"/>
      <c r="G40" s="103">
        <f>SUM(D40+E40+F40)</f>
        <v>20377</v>
      </c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</row>
    <row r="41" spans="1:19" s="8" customFormat="1" ht="15" customHeight="1" thickBot="1">
      <c r="A41" s="24"/>
      <c r="B41" s="24"/>
      <c r="C41" s="116" t="s">
        <v>898</v>
      </c>
      <c r="D41" s="53">
        <f>SUM(D9,D10,D13,D14,D18,D19,D21,D22,D23,D24,D37,D40,D20)</f>
        <v>5301807</v>
      </c>
      <c r="E41" s="53">
        <f>SUM(E9,E10,E13,E14,E18,E19,E21,E22,E23,E24,E37,E40,E20)</f>
        <v>1616405</v>
      </c>
      <c r="F41" s="53">
        <f>SUM(F9,F10,F13,F14,F18,F19,F21,F22,F23,F24,F37,F40,F20)</f>
        <v>749513</v>
      </c>
      <c r="G41" s="146">
        <f>SUM(D41+E41+F41)</f>
        <v>7667725</v>
      </c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</row>
    <row r="42" s="1" customFormat="1" ht="25.5" customHeight="1" thickTop="1"/>
    <row r="43" s="1" customFormat="1" ht="25.5" customHeight="1"/>
    <row r="44" spans="3:19" ht="25.5" customHeight="1"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3:19" ht="25.5" customHeight="1"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3:19" ht="25.5" customHeight="1"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</row>
    <row r="47" spans="3:19" ht="25.5" customHeight="1"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</row>
    <row r="48" spans="3:19" ht="25.5" customHeight="1"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3:19" ht="25.5" customHeight="1"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</row>
    <row r="50" spans="3:19" ht="25.5" customHeight="1"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</row>
    <row r="51" spans="3:19" ht="25.5" customHeight="1"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3:19" ht="25.5" customHeight="1"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</row>
    <row r="53" spans="3:19" ht="25.5" customHeight="1"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spans="3:19" ht="25.5" customHeight="1"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</row>
    <row r="55" spans="3:19" ht="25.5" customHeight="1"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</row>
    <row r="56" spans="3:19" ht="25.5" customHeight="1"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</row>
    <row r="57" spans="3:19" ht="25.5" customHeight="1"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</row>
    <row r="58" spans="3:19" ht="25.5" customHeight="1"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</row>
    <row r="59" spans="3:19" ht="25.5" customHeight="1"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</row>
    <row r="60" spans="3:19" ht="25.5" customHeight="1"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spans="3:19" ht="25.5" customHeight="1"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</row>
    <row r="62" spans="3:19" ht="25.5" customHeight="1"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</row>
    <row r="63" spans="3:19" ht="25.5" customHeight="1"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3:19" ht="25.5" customHeight="1"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</row>
    <row r="65" spans="3:19" ht="25.5" customHeight="1"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</row>
    <row r="66" spans="3:19" ht="25.5" customHeight="1"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spans="3:19" ht="25.5" customHeight="1"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</row>
    <row r="68" spans="3:6" ht="25.5" customHeight="1">
      <c r="C68" s="1"/>
      <c r="D68" s="1"/>
      <c r="E68" s="1"/>
      <c r="F68" s="1"/>
    </row>
    <row r="69" spans="3:6" ht="25.5" customHeight="1">
      <c r="C69" s="1"/>
      <c r="D69" s="1"/>
      <c r="E69" s="1"/>
      <c r="F69" s="1"/>
    </row>
    <row r="70" spans="3:6" ht="25.5" customHeight="1">
      <c r="C70" s="1"/>
      <c r="D70" s="1"/>
      <c r="E70" s="1"/>
      <c r="F70" s="1"/>
    </row>
    <row r="71" spans="3:6" ht="25.5" customHeight="1">
      <c r="C71" s="1"/>
      <c r="D71" s="1"/>
      <c r="E71" s="1"/>
      <c r="F71" s="1"/>
    </row>
    <row r="72" spans="3:6" ht="25.5" customHeight="1">
      <c r="C72" s="1"/>
      <c r="D72" s="1"/>
      <c r="E72" s="1"/>
      <c r="F72" s="1"/>
    </row>
    <row r="73" spans="3:6" ht="25.5" customHeight="1">
      <c r="C73" s="1"/>
      <c r="D73" s="1"/>
      <c r="E73" s="1"/>
      <c r="F73" s="1"/>
    </row>
    <row r="74" spans="3:6" ht="25.5" customHeight="1">
      <c r="C74" s="1"/>
      <c r="D74" s="1"/>
      <c r="E74" s="1"/>
      <c r="F74" s="1"/>
    </row>
    <row r="75" spans="3:6" ht="25.5" customHeight="1">
      <c r="C75" s="1"/>
      <c r="D75" s="1"/>
      <c r="E75" s="1"/>
      <c r="F75" s="1"/>
    </row>
    <row r="76" spans="3:6" ht="25.5" customHeight="1">
      <c r="C76" s="1"/>
      <c r="D76" s="1"/>
      <c r="E76" s="1"/>
      <c r="F76" s="1"/>
    </row>
    <row r="77" spans="3:6" ht="25.5" customHeight="1">
      <c r="C77" s="1"/>
      <c r="D77" s="1"/>
      <c r="E77" s="1"/>
      <c r="F77" s="1"/>
    </row>
    <row r="78" spans="3:6" ht="25.5" customHeight="1">
      <c r="C78" s="1"/>
      <c r="D78" s="1"/>
      <c r="E78" s="1"/>
      <c r="F78" s="1"/>
    </row>
    <row r="79" spans="3:6" ht="25.5" customHeight="1">
      <c r="C79" s="1"/>
      <c r="D79" s="1"/>
      <c r="E79" s="1"/>
      <c r="F79" s="1"/>
    </row>
    <row r="80" spans="3:6" ht="25.5" customHeight="1">
      <c r="C80" s="1"/>
      <c r="D80" s="1"/>
      <c r="E80" s="1"/>
      <c r="F80" s="1"/>
    </row>
    <row r="81" spans="3:6" ht="25.5" customHeight="1">
      <c r="C81" s="1"/>
      <c r="D81" s="1"/>
      <c r="E81" s="1"/>
      <c r="F81" s="1"/>
    </row>
    <row r="82" spans="3:6" ht="25.5" customHeight="1">
      <c r="C82" s="1"/>
      <c r="D82" s="1"/>
      <c r="E82" s="1"/>
      <c r="F82" s="1"/>
    </row>
    <row r="83" spans="3:6" ht="25.5" customHeight="1">
      <c r="C83" s="1"/>
      <c r="D83" s="1"/>
      <c r="E83" s="1"/>
      <c r="F83" s="1"/>
    </row>
    <row r="84" spans="3:6" ht="25.5" customHeight="1">
      <c r="C84" s="1"/>
      <c r="D84" s="1"/>
      <c r="E84" s="1"/>
      <c r="F84" s="1"/>
    </row>
    <row r="85" spans="3:6" ht="25.5" customHeight="1">
      <c r="C85" s="1"/>
      <c r="D85" s="1"/>
      <c r="E85" s="1"/>
      <c r="F85" s="1"/>
    </row>
    <row r="86" spans="3:6" ht="25.5" customHeight="1">
      <c r="C86" s="1"/>
      <c r="D86" s="1"/>
      <c r="E86" s="1"/>
      <c r="F86" s="1"/>
    </row>
    <row r="87" spans="3:6" ht="25.5" customHeight="1">
      <c r="C87" s="1"/>
      <c r="D87" s="1"/>
      <c r="E87" s="1"/>
      <c r="F87" s="1"/>
    </row>
    <row r="88" spans="3:6" ht="25.5" customHeight="1">
      <c r="C88" s="1"/>
      <c r="D88" s="1"/>
      <c r="E88" s="1"/>
      <c r="F88" s="1"/>
    </row>
    <row r="89" spans="3:6" ht="25.5" customHeight="1">
      <c r="C89" s="1"/>
      <c r="D89" s="1"/>
      <c r="E89" s="1"/>
      <c r="F89" s="1"/>
    </row>
    <row r="90" spans="3:6" ht="25.5" customHeight="1">
      <c r="C90" s="1"/>
      <c r="D90" s="1"/>
      <c r="E90" s="1"/>
      <c r="F90" s="1"/>
    </row>
    <row r="91" spans="3:6" ht="25.5" customHeight="1">
      <c r="C91" s="1"/>
      <c r="D91" s="1"/>
      <c r="E91" s="1"/>
      <c r="F91" s="1"/>
    </row>
    <row r="92" spans="3:6" ht="25.5" customHeight="1">
      <c r="C92" s="1"/>
      <c r="D92" s="1"/>
      <c r="E92" s="1"/>
      <c r="F92" s="1"/>
    </row>
    <row r="93" spans="3:6" ht="25.5" customHeight="1">
      <c r="C93" s="1"/>
      <c r="D93" s="1"/>
      <c r="E93" s="1"/>
      <c r="F93" s="1"/>
    </row>
    <row r="94" spans="3:6" ht="25.5" customHeight="1">
      <c r="C94" s="1"/>
      <c r="D94" s="1"/>
      <c r="E94" s="1"/>
      <c r="F94" s="1"/>
    </row>
    <row r="95" spans="3:6" ht="25.5" customHeight="1">
      <c r="C95" s="1"/>
      <c r="D95" s="1"/>
      <c r="E95" s="1"/>
      <c r="F95" s="1"/>
    </row>
    <row r="96" spans="3:6" ht="25.5" customHeight="1">
      <c r="C96" s="1"/>
      <c r="D96" s="1"/>
      <c r="E96" s="1"/>
      <c r="F96" s="1"/>
    </row>
    <row r="97" spans="3:6" ht="25.5" customHeight="1">
      <c r="C97" s="1"/>
      <c r="D97" s="1"/>
      <c r="E97" s="1"/>
      <c r="F97" s="1"/>
    </row>
    <row r="98" spans="3:6" ht="25.5" customHeight="1">
      <c r="C98" s="1"/>
      <c r="D98" s="1"/>
      <c r="E98" s="1"/>
      <c r="F98" s="1"/>
    </row>
    <row r="99" spans="3:6" ht="25.5" customHeight="1">
      <c r="C99" s="1"/>
      <c r="D99" s="1"/>
      <c r="E99" s="1"/>
      <c r="F99" s="1"/>
    </row>
    <row r="100" spans="3:6" ht="25.5" customHeight="1">
      <c r="C100" s="1"/>
      <c r="D100" s="1"/>
      <c r="E100" s="1"/>
      <c r="F100" s="1"/>
    </row>
    <row r="101" spans="3:6" ht="25.5" customHeight="1">
      <c r="C101" s="1"/>
      <c r="D101" s="1"/>
      <c r="E101" s="1"/>
      <c r="F101" s="1"/>
    </row>
    <row r="102" spans="3:6" ht="25.5" customHeight="1">
      <c r="C102" s="1"/>
      <c r="D102" s="1"/>
      <c r="E102" s="1"/>
      <c r="F102" s="1"/>
    </row>
    <row r="103" spans="3:6" ht="25.5" customHeight="1">
      <c r="C103" s="1"/>
      <c r="D103" s="1"/>
      <c r="E103" s="1"/>
      <c r="F103" s="1"/>
    </row>
    <row r="104" spans="3:6" ht="25.5" customHeight="1">
      <c r="C104" s="1"/>
      <c r="D104" s="1"/>
      <c r="E104" s="1"/>
      <c r="F104" s="1"/>
    </row>
    <row r="105" spans="3:6" ht="25.5" customHeight="1">
      <c r="C105" s="1"/>
      <c r="D105" s="1"/>
      <c r="E105" s="1"/>
      <c r="F105" s="1"/>
    </row>
    <row r="106" spans="3:6" ht="25.5" customHeight="1">
      <c r="C106" s="1"/>
      <c r="D106" s="1"/>
      <c r="E106" s="1"/>
      <c r="F106" s="1"/>
    </row>
    <row r="107" spans="3:6" ht="25.5" customHeight="1">
      <c r="C107" s="1"/>
      <c r="D107" s="1"/>
      <c r="E107" s="1"/>
      <c r="F107" s="1"/>
    </row>
    <row r="108" spans="3:6" ht="25.5" customHeight="1">
      <c r="C108" s="1"/>
      <c r="D108" s="1"/>
      <c r="E108" s="1"/>
      <c r="F108" s="1"/>
    </row>
    <row r="109" spans="3:6" ht="25.5" customHeight="1">
      <c r="C109" s="1"/>
      <c r="D109" s="1"/>
      <c r="E109" s="1"/>
      <c r="F109" s="1"/>
    </row>
    <row r="110" spans="3:6" ht="25.5" customHeight="1">
      <c r="C110" s="1"/>
      <c r="D110" s="1"/>
      <c r="E110" s="1"/>
      <c r="F110" s="1"/>
    </row>
    <row r="111" spans="3:6" ht="25.5" customHeight="1">
      <c r="C111" s="1"/>
      <c r="D111" s="1"/>
      <c r="E111" s="1"/>
      <c r="F111" s="1"/>
    </row>
    <row r="112" spans="3:6" ht="25.5" customHeight="1">
      <c r="C112" s="1"/>
      <c r="D112" s="1"/>
      <c r="E112" s="1"/>
      <c r="F112" s="1"/>
    </row>
    <row r="113" spans="3:6" ht="25.5" customHeight="1">
      <c r="C113" s="1"/>
      <c r="D113" s="1"/>
      <c r="E113" s="1"/>
      <c r="F113" s="1"/>
    </row>
    <row r="114" spans="3:6" ht="25.5" customHeight="1">
      <c r="C114" s="1"/>
      <c r="D114" s="1"/>
      <c r="E114" s="1"/>
      <c r="F114" s="1"/>
    </row>
    <row r="115" spans="3:6" ht="25.5" customHeight="1">
      <c r="C115" s="1"/>
      <c r="D115" s="1"/>
      <c r="E115" s="1"/>
      <c r="F115" s="1"/>
    </row>
    <row r="116" spans="3:6" ht="25.5" customHeight="1">
      <c r="C116" s="1"/>
      <c r="D116" s="1"/>
      <c r="E116" s="1"/>
      <c r="F116" s="1"/>
    </row>
    <row r="117" spans="3:6" ht="25.5" customHeight="1">
      <c r="C117" s="1"/>
      <c r="D117" s="1"/>
      <c r="E117" s="1"/>
      <c r="F117" s="1"/>
    </row>
    <row r="118" spans="3:6" ht="25.5" customHeight="1">
      <c r="C118" s="1"/>
      <c r="D118" s="1"/>
      <c r="E118" s="1"/>
      <c r="F118" s="1"/>
    </row>
    <row r="119" spans="3:6" ht="25.5" customHeight="1">
      <c r="C119" s="1"/>
      <c r="D119" s="1"/>
      <c r="E119" s="1"/>
      <c r="F119" s="1"/>
    </row>
    <row r="120" spans="3:6" ht="25.5" customHeight="1">
      <c r="C120" s="1"/>
      <c r="D120" s="1"/>
      <c r="E120" s="1"/>
      <c r="F120" s="1"/>
    </row>
    <row r="121" spans="3:6" ht="25.5" customHeight="1">
      <c r="C121" s="1"/>
      <c r="D121" s="1"/>
      <c r="E121" s="1"/>
      <c r="F121" s="1"/>
    </row>
    <row r="122" spans="3:6" ht="25.5" customHeight="1">
      <c r="C122" s="1"/>
      <c r="D122" s="1"/>
      <c r="E122" s="1"/>
      <c r="F122" s="1"/>
    </row>
    <row r="123" spans="3:6" ht="25.5" customHeight="1">
      <c r="C123" s="1"/>
      <c r="D123" s="1"/>
      <c r="E123" s="1"/>
      <c r="F123" s="1"/>
    </row>
    <row r="124" spans="3:6" ht="25.5" customHeight="1">
      <c r="C124" s="1"/>
      <c r="D124" s="1"/>
      <c r="E124" s="1"/>
      <c r="F124" s="1"/>
    </row>
    <row r="125" spans="3:6" ht="25.5" customHeight="1">
      <c r="C125" s="1"/>
      <c r="D125" s="1"/>
      <c r="E125" s="1"/>
      <c r="F125" s="1"/>
    </row>
    <row r="126" spans="3:6" ht="25.5" customHeight="1">
      <c r="C126" s="1"/>
      <c r="D126" s="1"/>
      <c r="E126" s="1"/>
      <c r="F126" s="1"/>
    </row>
    <row r="127" spans="3:6" ht="25.5" customHeight="1">
      <c r="C127" s="1"/>
      <c r="D127" s="1"/>
      <c r="E127" s="1"/>
      <c r="F127" s="1"/>
    </row>
    <row r="128" spans="3:6" ht="25.5" customHeight="1">
      <c r="C128" s="1"/>
      <c r="D128" s="1"/>
      <c r="E128" s="1"/>
      <c r="F128" s="1"/>
    </row>
    <row r="129" spans="3:6" ht="25.5" customHeight="1">
      <c r="C129" s="1"/>
      <c r="D129" s="1"/>
      <c r="E129" s="1"/>
      <c r="F129" s="1"/>
    </row>
    <row r="130" spans="3:6" ht="25.5" customHeight="1">
      <c r="C130" s="1"/>
      <c r="D130" s="1"/>
      <c r="E130" s="1"/>
      <c r="F130" s="1"/>
    </row>
    <row r="131" spans="3:6" ht="25.5" customHeight="1">
      <c r="C131" s="1"/>
      <c r="D131" s="1"/>
      <c r="E131" s="1"/>
      <c r="F131" s="1"/>
    </row>
    <row r="132" spans="3:6" ht="25.5" customHeight="1">
      <c r="C132" s="1"/>
      <c r="D132" s="1"/>
      <c r="E132" s="1"/>
      <c r="F132" s="1"/>
    </row>
    <row r="133" spans="3:6" ht="25.5" customHeight="1">
      <c r="C133" s="1"/>
      <c r="D133" s="1"/>
      <c r="E133" s="1"/>
      <c r="F133" s="1"/>
    </row>
    <row r="134" spans="3:6" ht="25.5" customHeight="1">
      <c r="C134" s="1"/>
      <c r="D134" s="1"/>
      <c r="E134" s="1"/>
      <c r="F134" s="1"/>
    </row>
    <row r="135" spans="3:6" ht="25.5" customHeight="1">
      <c r="C135" s="1"/>
      <c r="D135" s="1"/>
      <c r="E135" s="1"/>
      <c r="F135" s="1"/>
    </row>
    <row r="136" spans="3:6" ht="25.5" customHeight="1">
      <c r="C136" s="1"/>
      <c r="D136" s="1"/>
      <c r="E136" s="1"/>
      <c r="F136" s="1"/>
    </row>
    <row r="137" spans="3:6" ht="25.5" customHeight="1">
      <c r="C137" s="1"/>
      <c r="D137" s="1"/>
      <c r="E137" s="1"/>
      <c r="F137" s="1"/>
    </row>
    <row r="138" spans="3:6" ht="25.5" customHeight="1">
      <c r="C138" s="1"/>
      <c r="D138" s="1"/>
      <c r="E138" s="1"/>
      <c r="F138" s="1"/>
    </row>
    <row r="139" spans="3:6" ht="25.5" customHeight="1">
      <c r="C139" s="1"/>
      <c r="D139" s="1"/>
      <c r="E139" s="1"/>
      <c r="F139" s="1"/>
    </row>
    <row r="140" spans="3:6" ht="25.5" customHeight="1">
      <c r="C140" s="1"/>
      <c r="D140" s="1"/>
      <c r="E140" s="1"/>
      <c r="F140" s="1"/>
    </row>
    <row r="141" spans="3:6" ht="25.5" customHeight="1">
      <c r="C141" s="1"/>
      <c r="D141" s="1"/>
      <c r="E141" s="1"/>
      <c r="F141" s="1"/>
    </row>
    <row r="142" spans="3:6" ht="25.5" customHeight="1">
      <c r="C142" s="1"/>
      <c r="D142" s="1"/>
      <c r="E142" s="1"/>
      <c r="F142" s="1"/>
    </row>
    <row r="143" spans="3:6" ht="25.5" customHeight="1">
      <c r="C143" s="1"/>
      <c r="D143" s="1"/>
      <c r="E143" s="1"/>
      <c r="F143" s="1"/>
    </row>
    <row r="144" spans="3:6" ht="25.5" customHeight="1">
      <c r="C144" s="1"/>
      <c r="D144" s="1"/>
      <c r="E144" s="1"/>
      <c r="F144" s="1"/>
    </row>
    <row r="145" spans="3:6" ht="25.5" customHeight="1">
      <c r="C145" s="1"/>
      <c r="D145" s="1"/>
      <c r="E145" s="1"/>
      <c r="F145" s="1"/>
    </row>
    <row r="146" spans="3:6" ht="25.5" customHeight="1">
      <c r="C146" s="1"/>
      <c r="D146" s="1"/>
      <c r="E146" s="1"/>
      <c r="F146" s="1"/>
    </row>
    <row r="147" spans="3:6" ht="25.5" customHeight="1">
      <c r="C147" s="1"/>
      <c r="D147" s="1"/>
      <c r="E147" s="1"/>
      <c r="F147" s="1"/>
    </row>
    <row r="148" spans="3:6" ht="25.5" customHeight="1">
      <c r="C148" s="1"/>
      <c r="D148" s="1"/>
      <c r="E148" s="1"/>
      <c r="F148" s="1"/>
    </row>
    <row r="149" spans="3:6" ht="25.5" customHeight="1">
      <c r="C149" s="1"/>
      <c r="D149" s="1"/>
      <c r="E149" s="1"/>
      <c r="F149" s="1"/>
    </row>
    <row r="150" spans="3:6" ht="25.5" customHeight="1">
      <c r="C150" s="1"/>
      <c r="D150" s="1"/>
      <c r="E150" s="1"/>
      <c r="F150" s="1"/>
    </row>
    <row r="151" spans="3:6" ht="25.5" customHeight="1">
      <c r="C151" s="1"/>
      <c r="D151" s="1"/>
      <c r="E151" s="1"/>
      <c r="F151" s="1"/>
    </row>
    <row r="152" spans="3:6" ht="25.5" customHeight="1">
      <c r="C152" s="1"/>
      <c r="D152" s="1"/>
      <c r="E152" s="1"/>
      <c r="F152" s="1"/>
    </row>
    <row r="153" spans="3:6" ht="25.5" customHeight="1">
      <c r="C153" s="1"/>
      <c r="D153" s="1"/>
      <c r="E153" s="1"/>
      <c r="F153" s="1"/>
    </row>
    <row r="154" spans="3:6" ht="25.5" customHeight="1">
      <c r="C154" s="1"/>
      <c r="D154" s="1"/>
      <c r="E154" s="1"/>
      <c r="F154" s="1"/>
    </row>
    <row r="155" spans="3:6" ht="25.5" customHeight="1">
      <c r="C155" s="1"/>
      <c r="D155" s="1"/>
      <c r="E155" s="1"/>
      <c r="F155" s="1"/>
    </row>
    <row r="156" spans="3:6" ht="25.5" customHeight="1">
      <c r="C156" s="1"/>
      <c r="D156" s="1"/>
      <c r="E156" s="1"/>
      <c r="F156" s="1"/>
    </row>
    <row r="157" spans="3:6" ht="25.5" customHeight="1">
      <c r="C157" s="1"/>
      <c r="D157" s="1"/>
      <c r="E157" s="1"/>
      <c r="F157" s="1"/>
    </row>
    <row r="158" spans="3:6" ht="25.5" customHeight="1">
      <c r="C158" s="1"/>
      <c r="D158" s="1"/>
      <c r="E158" s="1"/>
      <c r="F158" s="1"/>
    </row>
    <row r="159" spans="3:6" ht="25.5" customHeight="1">
      <c r="C159" s="1"/>
      <c r="D159" s="1"/>
      <c r="E159" s="1"/>
      <c r="F159" s="1"/>
    </row>
    <row r="160" spans="3:6" ht="25.5" customHeight="1">
      <c r="C160" s="1"/>
      <c r="D160" s="1"/>
      <c r="E160" s="1"/>
      <c r="F160" s="1"/>
    </row>
    <row r="161" spans="3:6" ht="25.5" customHeight="1">
      <c r="C161" s="1"/>
      <c r="D161" s="1"/>
      <c r="E161" s="1"/>
      <c r="F161" s="1"/>
    </row>
    <row r="162" spans="3:6" ht="25.5" customHeight="1">
      <c r="C162" s="1"/>
      <c r="D162" s="1"/>
      <c r="E162" s="1"/>
      <c r="F162" s="1"/>
    </row>
    <row r="163" spans="3:6" ht="25.5" customHeight="1">
      <c r="C163" s="1"/>
      <c r="D163" s="1"/>
      <c r="E163" s="1"/>
      <c r="F163" s="1"/>
    </row>
    <row r="164" spans="3:6" ht="25.5" customHeight="1">
      <c r="C164" s="1"/>
      <c r="D164" s="1"/>
      <c r="E164" s="1"/>
      <c r="F164" s="1"/>
    </row>
    <row r="165" spans="3:6" ht="25.5" customHeight="1">
      <c r="C165" s="1"/>
      <c r="D165" s="1"/>
      <c r="E165" s="1"/>
      <c r="F165" s="1"/>
    </row>
    <row r="166" spans="3:6" ht="25.5" customHeight="1">
      <c r="C166" s="1"/>
      <c r="D166" s="1"/>
      <c r="E166" s="1"/>
      <c r="F166" s="1"/>
    </row>
    <row r="167" spans="3:6" ht="25.5" customHeight="1">
      <c r="C167" s="1"/>
      <c r="D167" s="1"/>
      <c r="E167" s="1"/>
      <c r="F167" s="1"/>
    </row>
    <row r="168" spans="3:6" ht="25.5" customHeight="1">
      <c r="C168" s="1"/>
      <c r="D168" s="1"/>
      <c r="E168" s="1"/>
      <c r="F168" s="1"/>
    </row>
    <row r="169" spans="3:6" ht="25.5" customHeight="1">
      <c r="C169" s="1"/>
      <c r="D169" s="1"/>
      <c r="E169" s="1"/>
      <c r="F169" s="1"/>
    </row>
    <row r="170" spans="3:6" ht="25.5" customHeight="1">
      <c r="C170" s="1"/>
      <c r="D170" s="1"/>
      <c r="E170" s="1"/>
      <c r="F170" s="1"/>
    </row>
    <row r="171" spans="3:6" ht="25.5" customHeight="1">
      <c r="C171" s="1"/>
      <c r="D171" s="1"/>
      <c r="E171" s="1"/>
      <c r="F171" s="1"/>
    </row>
    <row r="172" spans="3:6" ht="25.5" customHeight="1">
      <c r="C172" s="1"/>
      <c r="D172" s="1"/>
      <c r="E172" s="1"/>
      <c r="F172" s="1"/>
    </row>
    <row r="173" spans="3:6" ht="25.5" customHeight="1">
      <c r="C173" s="1"/>
      <c r="D173" s="1"/>
      <c r="E173" s="1"/>
      <c r="F173" s="1"/>
    </row>
    <row r="174" spans="3:6" ht="25.5" customHeight="1">
      <c r="C174" s="1"/>
      <c r="D174" s="1"/>
      <c r="E174" s="1"/>
      <c r="F174" s="1"/>
    </row>
    <row r="175" spans="3:6" ht="25.5" customHeight="1">
      <c r="C175" s="1"/>
      <c r="D175" s="1"/>
      <c r="E175" s="1"/>
      <c r="F175" s="1"/>
    </row>
    <row r="176" spans="3:6" ht="25.5" customHeight="1">
      <c r="C176" s="1"/>
      <c r="D176" s="1"/>
      <c r="E176" s="1"/>
      <c r="F176" s="1"/>
    </row>
    <row r="177" spans="3:6" ht="25.5" customHeight="1">
      <c r="C177" s="1"/>
      <c r="D177" s="1"/>
      <c r="E177" s="1"/>
      <c r="F177" s="1"/>
    </row>
    <row r="178" spans="3:6" ht="25.5" customHeight="1">
      <c r="C178" s="1"/>
      <c r="D178" s="1"/>
      <c r="E178" s="1"/>
      <c r="F178" s="1"/>
    </row>
    <row r="179" spans="3:6" ht="25.5" customHeight="1">
      <c r="C179" s="1"/>
      <c r="D179" s="1"/>
      <c r="E179" s="1"/>
      <c r="F179" s="1"/>
    </row>
    <row r="180" spans="3:6" ht="25.5" customHeight="1">
      <c r="C180" s="1"/>
      <c r="D180" s="1"/>
      <c r="E180" s="1"/>
      <c r="F180" s="1"/>
    </row>
    <row r="181" spans="3:6" ht="25.5" customHeight="1">
      <c r="C181" s="1"/>
      <c r="D181" s="1"/>
      <c r="E181" s="1"/>
      <c r="F181" s="1"/>
    </row>
    <row r="182" spans="3:6" ht="25.5" customHeight="1">
      <c r="C182" s="1"/>
      <c r="D182" s="1"/>
      <c r="E182" s="1"/>
      <c r="F182" s="1"/>
    </row>
    <row r="183" spans="3:6" ht="25.5" customHeight="1">
      <c r="C183" s="1"/>
      <c r="D183" s="1"/>
      <c r="E183" s="1"/>
      <c r="F183" s="1"/>
    </row>
    <row r="184" spans="3:6" ht="25.5" customHeight="1">
      <c r="C184" s="1"/>
      <c r="D184" s="1"/>
      <c r="E184" s="1"/>
      <c r="F184" s="1"/>
    </row>
    <row r="185" spans="3:6" ht="25.5" customHeight="1">
      <c r="C185" s="1"/>
      <c r="D185" s="1"/>
      <c r="E185" s="1"/>
      <c r="F185" s="1"/>
    </row>
    <row r="186" spans="3:6" ht="25.5" customHeight="1">
      <c r="C186" s="1"/>
      <c r="D186" s="1"/>
      <c r="E186" s="1"/>
      <c r="F186" s="1"/>
    </row>
    <row r="187" spans="3:6" ht="25.5" customHeight="1">
      <c r="C187" s="1"/>
      <c r="D187" s="1"/>
      <c r="E187" s="1"/>
      <c r="F187" s="1"/>
    </row>
    <row r="188" spans="3:6" ht="25.5" customHeight="1">
      <c r="C188" s="1"/>
      <c r="D188" s="1"/>
      <c r="E188" s="1"/>
      <c r="F188" s="1"/>
    </row>
    <row r="189" spans="3:6" ht="25.5" customHeight="1">
      <c r="C189" s="1"/>
      <c r="D189" s="1"/>
      <c r="E189" s="1"/>
      <c r="F189" s="1"/>
    </row>
    <row r="190" spans="3:6" ht="25.5" customHeight="1">
      <c r="C190" s="1"/>
      <c r="D190" s="1"/>
      <c r="E190" s="1"/>
      <c r="F190" s="1"/>
    </row>
    <row r="191" spans="3:6" ht="25.5" customHeight="1">
      <c r="C191" s="1"/>
      <c r="D191" s="1"/>
      <c r="E191" s="1"/>
      <c r="F191" s="1"/>
    </row>
    <row r="192" spans="3:6" ht="25.5" customHeight="1">
      <c r="C192" s="1"/>
      <c r="D192" s="1"/>
      <c r="E192" s="1"/>
      <c r="F192" s="1"/>
    </row>
    <row r="193" spans="3:6" ht="25.5" customHeight="1">
      <c r="C193" s="1"/>
      <c r="D193" s="1"/>
      <c r="E193" s="1"/>
      <c r="F193" s="1"/>
    </row>
    <row r="194" spans="3:6" ht="25.5" customHeight="1">
      <c r="C194" s="1"/>
      <c r="D194" s="1"/>
      <c r="E194" s="1"/>
      <c r="F194" s="1"/>
    </row>
    <row r="195" spans="3:6" ht="25.5" customHeight="1">
      <c r="C195" s="1"/>
      <c r="D195" s="1"/>
      <c r="E195" s="1"/>
      <c r="F195" s="1"/>
    </row>
    <row r="196" spans="3:6" ht="25.5" customHeight="1">
      <c r="C196" s="1"/>
      <c r="D196" s="1"/>
      <c r="E196" s="1"/>
      <c r="F196" s="1"/>
    </row>
    <row r="197" spans="3:6" ht="25.5" customHeight="1">
      <c r="C197" s="1"/>
      <c r="D197" s="1"/>
      <c r="E197" s="1"/>
      <c r="F197" s="1"/>
    </row>
    <row r="198" spans="3:6" ht="25.5" customHeight="1">
      <c r="C198" s="1"/>
      <c r="D198" s="1"/>
      <c r="E198" s="1"/>
      <c r="F198" s="1"/>
    </row>
    <row r="199" spans="3:6" ht="25.5" customHeight="1">
      <c r="C199" s="1"/>
      <c r="D199" s="1"/>
      <c r="E199" s="1"/>
      <c r="F199" s="1"/>
    </row>
    <row r="200" spans="3:6" ht="25.5" customHeight="1">
      <c r="C200" s="1"/>
      <c r="D200" s="1"/>
      <c r="E200" s="1"/>
      <c r="F200" s="1"/>
    </row>
    <row r="201" spans="3:6" ht="25.5" customHeight="1">
      <c r="C201" s="1"/>
      <c r="D201" s="1"/>
      <c r="E201" s="1"/>
      <c r="F201" s="1"/>
    </row>
    <row r="202" spans="3:6" ht="25.5" customHeight="1">
      <c r="C202" s="1"/>
      <c r="D202" s="1"/>
      <c r="E202" s="1"/>
      <c r="F202" s="1"/>
    </row>
    <row r="203" spans="3:6" ht="25.5" customHeight="1">
      <c r="C203" s="1"/>
      <c r="D203" s="1"/>
      <c r="E203" s="1"/>
      <c r="F203" s="1"/>
    </row>
    <row r="204" spans="3:6" ht="25.5" customHeight="1">
      <c r="C204" s="1"/>
      <c r="D204" s="1"/>
      <c r="E204" s="1"/>
      <c r="F204" s="1"/>
    </row>
    <row r="205" spans="3:6" ht="25.5" customHeight="1">
      <c r="C205" s="1"/>
      <c r="D205" s="1"/>
      <c r="E205" s="1"/>
      <c r="F205" s="1"/>
    </row>
    <row r="206" spans="3:6" ht="25.5" customHeight="1">
      <c r="C206" s="1"/>
      <c r="D206" s="1"/>
      <c r="E206" s="1"/>
      <c r="F206" s="1"/>
    </row>
    <row r="207" spans="3:6" ht="25.5" customHeight="1">
      <c r="C207" s="1"/>
      <c r="D207" s="1"/>
      <c r="E207" s="1"/>
      <c r="F207" s="1"/>
    </row>
    <row r="208" spans="3:6" ht="25.5" customHeight="1">
      <c r="C208" s="1"/>
      <c r="D208" s="1"/>
      <c r="E208" s="1"/>
      <c r="F208" s="1"/>
    </row>
    <row r="209" spans="3:6" ht="25.5" customHeight="1">
      <c r="C209" s="1"/>
      <c r="D209" s="1"/>
      <c r="E209" s="1"/>
      <c r="F209" s="1"/>
    </row>
    <row r="210" spans="3:6" ht="25.5" customHeight="1">
      <c r="C210" s="1"/>
      <c r="D210" s="1"/>
      <c r="E210" s="1"/>
      <c r="F210" s="1"/>
    </row>
    <row r="211" spans="3:6" ht="25.5" customHeight="1">
      <c r="C211" s="1"/>
      <c r="D211" s="1"/>
      <c r="E211" s="1"/>
      <c r="F211" s="1"/>
    </row>
    <row r="212" spans="3:6" ht="25.5" customHeight="1">
      <c r="C212" s="1"/>
      <c r="D212" s="1"/>
      <c r="E212" s="1"/>
      <c r="F212" s="1"/>
    </row>
    <row r="213" spans="3:6" ht="25.5" customHeight="1">
      <c r="C213" s="1"/>
      <c r="D213" s="1"/>
      <c r="E213" s="1"/>
      <c r="F213" s="1"/>
    </row>
    <row r="214" spans="3:6" ht="25.5" customHeight="1">
      <c r="C214" s="1"/>
      <c r="D214" s="1"/>
      <c r="E214" s="1"/>
      <c r="F214" s="1"/>
    </row>
    <row r="215" spans="3:6" ht="25.5" customHeight="1">
      <c r="C215" s="1"/>
      <c r="D215" s="1"/>
      <c r="E215" s="1"/>
      <c r="F215" s="1"/>
    </row>
    <row r="216" spans="3:6" ht="25.5" customHeight="1">
      <c r="C216" s="1"/>
      <c r="D216" s="1"/>
      <c r="E216" s="1"/>
      <c r="F216" s="1"/>
    </row>
    <row r="217" spans="3:6" ht="25.5" customHeight="1">
      <c r="C217" s="1"/>
      <c r="D217" s="1"/>
      <c r="E217" s="1"/>
      <c r="F217" s="1"/>
    </row>
    <row r="218" spans="3:6" ht="25.5" customHeight="1">
      <c r="C218" s="1"/>
      <c r="D218" s="1"/>
      <c r="E218" s="1"/>
      <c r="F218" s="1"/>
    </row>
    <row r="219" spans="3:6" ht="25.5" customHeight="1">
      <c r="C219" s="1"/>
      <c r="D219" s="1"/>
      <c r="E219" s="1"/>
      <c r="F219" s="1"/>
    </row>
    <row r="220" spans="3:6" ht="25.5" customHeight="1">
      <c r="C220" s="1"/>
      <c r="D220" s="1"/>
      <c r="E220" s="1"/>
      <c r="F220" s="1"/>
    </row>
    <row r="221" spans="3:6" ht="25.5" customHeight="1">
      <c r="C221" s="1"/>
      <c r="D221" s="1"/>
      <c r="E221" s="1"/>
      <c r="F221" s="1"/>
    </row>
    <row r="222" spans="3:6" ht="25.5" customHeight="1">
      <c r="C222" s="1"/>
      <c r="D222" s="1"/>
      <c r="E222" s="1"/>
      <c r="F222" s="1"/>
    </row>
    <row r="223" spans="3:6" ht="25.5" customHeight="1">
      <c r="C223" s="1"/>
      <c r="D223" s="1"/>
      <c r="E223" s="1"/>
      <c r="F223" s="1"/>
    </row>
    <row r="224" spans="3:6" ht="25.5" customHeight="1">
      <c r="C224" s="1"/>
      <c r="D224" s="1"/>
      <c r="E224" s="1"/>
      <c r="F224" s="1"/>
    </row>
    <row r="225" spans="3:6" ht="25.5" customHeight="1">
      <c r="C225" s="1"/>
      <c r="D225" s="1"/>
      <c r="E225" s="1"/>
      <c r="F225" s="1"/>
    </row>
    <row r="226" spans="3:6" ht="25.5" customHeight="1">
      <c r="C226" s="1"/>
      <c r="D226" s="1"/>
      <c r="E226" s="1"/>
      <c r="F226" s="1"/>
    </row>
    <row r="227" spans="3:6" ht="25.5" customHeight="1">
      <c r="C227" s="1"/>
      <c r="D227" s="1"/>
      <c r="E227" s="1"/>
      <c r="F227" s="1"/>
    </row>
    <row r="228" spans="3:6" ht="25.5" customHeight="1">
      <c r="C228" s="1"/>
      <c r="D228" s="1"/>
      <c r="E228" s="1"/>
      <c r="F228" s="1"/>
    </row>
    <row r="229" spans="3:6" ht="25.5" customHeight="1">
      <c r="C229" s="1"/>
      <c r="D229" s="1"/>
      <c r="E229" s="1"/>
      <c r="F229" s="1"/>
    </row>
    <row r="230" spans="3:6" ht="25.5" customHeight="1">
      <c r="C230" s="1"/>
      <c r="D230" s="1"/>
      <c r="E230" s="1"/>
      <c r="F230" s="1"/>
    </row>
    <row r="231" spans="3:6" ht="25.5" customHeight="1">
      <c r="C231" s="1"/>
      <c r="D231" s="1"/>
      <c r="E231" s="1"/>
      <c r="F231" s="1"/>
    </row>
    <row r="232" spans="3:6" ht="25.5" customHeight="1">
      <c r="C232" s="1"/>
      <c r="D232" s="1"/>
      <c r="E232" s="1"/>
      <c r="F232" s="1"/>
    </row>
    <row r="233" spans="3:6" ht="25.5" customHeight="1">
      <c r="C233" s="1"/>
      <c r="D233" s="1"/>
      <c r="E233" s="1"/>
      <c r="F233" s="1"/>
    </row>
    <row r="234" spans="3:6" ht="25.5" customHeight="1">
      <c r="C234" s="1"/>
      <c r="D234" s="1"/>
      <c r="E234" s="1"/>
      <c r="F234" s="1"/>
    </row>
    <row r="235" spans="3:6" ht="25.5" customHeight="1">
      <c r="C235" s="1"/>
      <c r="D235" s="1"/>
      <c r="E235" s="1"/>
      <c r="F235" s="1"/>
    </row>
    <row r="236" spans="3:6" ht="25.5" customHeight="1">
      <c r="C236" s="1"/>
      <c r="D236" s="1"/>
      <c r="E236" s="1"/>
      <c r="F236" s="1"/>
    </row>
    <row r="237" spans="3:6" ht="25.5" customHeight="1">
      <c r="C237" s="1"/>
      <c r="D237" s="1"/>
      <c r="E237" s="1"/>
      <c r="F237" s="1"/>
    </row>
    <row r="238" spans="3:6" ht="25.5" customHeight="1">
      <c r="C238" s="1"/>
      <c r="D238" s="1"/>
      <c r="E238" s="1"/>
      <c r="F238" s="1"/>
    </row>
    <row r="239" spans="3:6" ht="25.5" customHeight="1">
      <c r="C239" s="1"/>
      <c r="D239" s="1"/>
      <c r="E239" s="1"/>
      <c r="F239" s="1"/>
    </row>
    <row r="240" spans="3:6" ht="25.5" customHeight="1">
      <c r="C240" s="1"/>
      <c r="D240" s="1"/>
      <c r="E240" s="1"/>
      <c r="F240" s="1"/>
    </row>
    <row r="241" spans="3:6" ht="25.5" customHeight="1">
      <c r="C241" s="1"/>
      <c r="D241" s="1"/>
      <c r="E241" s="1"/>
      <c r="F241" s="1"/>
    </row>
    <row r="242" spans="3:6" ht="25.5" customHeight="1">
      <c r="C242" s="1"/>
      <c r="D242" s="1"/>
      <c r="E242" s="1"/>
      <c r="F242" s="1"/>
    </row>
    <row r="243" spans="3:6" ht="25.5" customHeight="1">
      <c r="C243" s="1"/>
      <c r="D243" s="1"/>
      <c r="E243" s="1"/>
      <c r="F243" s="1"/>
    </row>
    <row r="244" spans="3:6" ht="25.5" customHeight="1">
      <c r="C244" s="1"/>
      <c r="D244" s="1"/>
      <c r="E244" s="1"/>
      <c r="F244" s="1"/>
    </row>
    <row r="245" spans="3:6" ht="25.5" customHeight="1">
      <c r="C245" s="1"/>
      <c r="D245" s="1"/>
      <c r="E245" s="1"/>
      <c r="F245" s="1"/>
    </row>
    <row r="246" spans="3:6" ht="25.5" customHeight="1">
      <c r="C246" s="1"/>
      <c r="D246" s="1"/>
      <c r="E246" s="1"/>
      <c r="F246" s="1"/>
    </row>
    <row r="247" spans="3:6" ht="25.5" customHeight="1">
      <c r="C247" s="1"/>
      <c r="D247" s="1"/>
      <c r="E247" s="1"/>
      <c r="F247" s="1"/>
    </row>
    <row r="248" spans="3:6" ht="25.5" customHeight="1">
      <c r="C248" s="1"/>
      <c r="D248" s="1"/>
      <c r="E248" s="1"/>
      <c r="F248" s="1"/>
    </row>
    <row r="249" spans="3:6" ht="25.5" customHeight="1">
      <c r="C249" s="1"/>
      <c r="D249" s="1"/>
      <c r="E249" s="1"/>
      <c r="F249" s="1"/>
    </row>
    <row r="250" spans="3:6" ht="25.5" customHeight="1">
      <c r="C250" s="1"/>
      <c r="D250" s="1"/>
      <c r="E250" s="1"/>
      <c r="F250" s="1"/>
    </row>
    <row r="251" spans="3:6" ht="25.5" customHeight="1">
      <c r="C251" s="1"/>
      <c r="D251" s="1"/>
      <c r="E251" s="1"/>
      <c r="F251" s="1"/>
    </row>
    <row r="252" spans="3:6" ht="25.5" customHeight="1">
      <c r="C252" s="1"/>
      <c r="D252" s="1"/>
      <c r="E252" s="1"/>
      <c r="F252" s="1"/>
    </row>
    <row r="253" spans="3:6" ht="25.5" customHeight="1">
      <c r="C253" s="1"/>
      <c r="D253" s="1"/>
      <c r="E253" s="1"/>
      <c r="F253" s="1"/>
    </row>
    <row r="254" spans="3:6" ht="25.5" customHeight="1">
      <c r="C254" s="1"/>
      <c r="D254" s="1"/>
      <c r="E254" s="1"/>
      <c r="F254" s="1"/>
    </row>
    <row r="255" spans="3:6" ht="25.5" customHeight="1">
      <c r="C255" s="1"/>
      <c r="D255" s="1"/>
      <c r="E255" s="1"/>
      <c r="F255" s="1"/>
    </row>
    <row r="256" spans="3:6" ht="25.5" customHeight="1">
      <c r="C256" s="1"/>
      <c r="D256" s="1"/>
      <c r="E256" s="1"/>
      <c r="F256" s="1"/>
    </row>
    <row r="257" spans="3:6" ht="25.5" customHeight="1">
      <c r="C257" s="1"/>
      <c r="D257" s="1"/>
      <c r="E257" s="1"/>
      <c r="F257" s="1"/>
    </row>
    <row r="258" spans="3:6" ht="25.5" customHeight="1">
      <c r="C258" s="1"/>
      <c r="D258" s="1"/>
      <c r="E258" s="1"/>
      <c r="F258" s="1"/>
    </row>
    <row r="259" spans="3:6" ht="25.5" customHeight="1">
      <c r="C259" s="1"/>
      <c r="D259" s="1"/>
      <c r="E259" s="1"/>
      <c r="F259" s="1"/>
    </row>
    <row r="260" spans="3:6" ht="25.5" customHeight="1">
      <c r="C260" s="1"/>
      <c r="D260" s="1"/>
      <c r="E260" s="1"/>
      <c r="F260" s="1"/>
    </row>
    <row r="261" spans="3:6" ht="25.5" customHeight="1">
      <c r="C261" s="1"/>
      <c r="D261" s="1"/>
      <c r="E261" s="1"/>
      <c r="F261" s="1"/>
    </row>
    <row r="262" spans="3:6" ht="25.5" customHeight="1">
      <c r="C262" s="1"/>
      <c r="D262" s="1"/>
      <c r="E262" s="1"/>
      <c r="F262" s="1"/>
    </row>
    <row r="263" spans="3:6" ht="25.5" customHeight="1">
      <c r="C263" s="1"/>
      <c r="D263" s="1"/>
      <c r="E263" s="1"/>
      <c r="F263" s="1"/>
    </row>
    <row r="264" spans="3:6" ht="25.5" customHeight="1">
      <c r="C264" s="1"/>
      <c r="D264" s="1"/>
      <c r="E264" s="1"/>
      <c r="F264" s="1"/>
    </row>
    <row r="265" spans="3:6" ht="25.5" customHeight="1">
      <c r="C265" s="1"/>
      <c r="D265" s="1"/>
      <c r="E265" s="1"/>
      <c r="F265" s="1"/>
    </row>
    <row r="266" spans="3:6" ht="25.5" customHeight="1">
      <c r="C266" s="1"/>
      <c r="D266" s="1"/>
      <c r="E266" s="1"/>
      <c r="F266" s="1"/>
    </row>
    <row r="267" spans="3:6" ht="25.5" customHeight="1">
      <c r="C267" s="1"/>
      <c r="D267" s="1"/>
      <c r="E267" s="1"/>
      <c r="F267" s="1"/>
    </row>
    <row r="268" spans="3:6" ht="25.5" customHeight="1">
      <c r="C268" s="1"/>
      <c r="D268" s="1"/>
      <c r="E268" s="1"/>
      <c r="F268" s="1"/>
    </row>
    <row r="269" spans="3:6" ht="25.5" customHeight="1">
      <c r="C269" s="1"/>
      <c r="D269" s="1"/>
      <c r="E269" s="1"/>
      <c r="F269" s="1"/>
    </row>
    <row r="270" spans="3:6" ht="25.5" customHeight="1">
      <c r="C270" s="1"/>
      <c r="D270" s="1"/>
      <c r="E270" s="1"/>
      <c r="F270" s="1"/>
    </row>
    <row r="271" spans="3:6" ht="25.5" customHeight="1">
      <c r="C271" s="1"/>
      <c r="D271" s="1"/>
      <c r="E271" s="1"/>
      <c r="F271" s="1"/>
    </row>
    <row r="272" spans="3:6" ht="25.5" customHeight="1">
      <c r="C272" s="1"/>
      <c r="D272" s="1"/>
      <c r="E272" s="1"/>
      <c r="F272" s="1"/>
    </row>
  </sheetData>
  <mergeCells count="3">
    <mergeCell ref="C3:G3"/>
    <mergeCell ref="C4:G4"/>
    <mergeCell ref="C5:G5"/>
  </mergeCells>
  <printOptions horizontalCentered="1"/>
  <pageMargins left="0.3937007874015748" right="0.3937007874015748" top="0.35433070866141736" bottom="0.35433070866141736" header="0.2755905511811024" footer="0.2362204724409449"/>
  <pageSetup horizontalDpi="300" verticalDpi="300" orientation="portrait" paperSize="9" scale="89" r:id="rId1"/>
  <headerFooter alignWithMargins="0">
    <oddHeader>&amp;L&amp;8 3. melléklet a 2/2011.(II.25.) önkormányzati rendelethez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P173"/>
  <sheetViews>
    <sheetView workbookViewId="0" topLeftCell="A1">
      <selection activeCell="A4" sqref="A4:N4"/>
    </sheetView>
  </sheetViews>
  <sheetFormatPr defaultColWidth="9.00390625" defaultRowHeight="12.75"/>
  <cols>
    <col min="1" max="1" width="8.00390625" style="524" customWidth="1"/>
    <col min="2" max="2" width="74.75390625" style="520" customWidth="1"/>
    <col min="3" max="3" width="10.625" style="521" customWidth="1"/>
    <col min="4" max="4" width="9.25390625" style="522" customWidth="1"/>
    <col min="5" max="5" width="9.00390625" style="520" customWidth="1"/>
    <col min="6" max="7" width="8.75390625" style="520" customWidth="1"/>
    <col min="8" max="8" width="9.625" style="520" customWidth="1"/>
    <col min="9" max="9" width="9.375" style="520" customWidth="1"/>
    <col min="10" max="10" width="10.125" style="520" customWidth="1"/>
    <col min="11" max="11" width="9.375" style="520" customWidth="1"/>
    <col min="12" max="12" width="9.125" style="520" customWidth="1"/>
    <col min="13" max="13" width="8.875" style="523" customWidth="1"/>
    <col min="14" max="14" width="9.625" style="520" customWidth="1"/>
    <col min="15" max="16384" width="9.125" style="520" customWidth="1"/>
  </cols>
  <sheetData>
    <row r="1" spans="1:2" ht="12.75">
      <c r="A1" s="884" t="s">
        <v>287</v>
      </c>
      <c r="B1" s="869"/>
    </row>
    <row r="2" ht="10.5" customHeight="1"/>
    <row r="3" spans="1:14" ht="15.75" customHeight="1">
      <c r="A3" s="885" t="s">
        <v>514</v>
      </c>
      <c r="B3" s="885"/>
      <c r="C3" s="885"/>
      <c r="D3" s="885"/>
      <c r="E3" s="885"/>
      <c r="F3" s="885"/>
      <c r="G3" s="885"/>
      <c r="H3" s="885"/>
      <c r="I3" s="885"/>
      <c r="J3" s="885"/>
      <c r="K3" s="885"/>
      <c r="L3" s="885"/>
      <c r="M3" s="885"/>
      <c r="N3" s="885"/>
    </row>
    <row r="4" spans="1:14" ht="12.75" customHeight="1">
      <c r="A4" s="886"/>
      <c r="B4" s="886"/>
      <c r="C4" s="886"/>
      <c r="D4" s="886"/>
      <c r="E4" s="886"/>
      <c r="F4" s="886"/>
      <c r="G4" s="886"/>
      <c r="H4" s="886"/>
      <c r="I4" s="886"/>
      <c r="J4" s="886"/>
      <c r="K4" s="886"/>
      <c r="L4" s="886"/>
      <c r="M4" s="886"/>
      <c r="N4" s="886"/>
    </row>
    <row r="5" spans="12:14" ht="11.25" customHeight="1">
      <c r="L5" s="522"/>
      <c r="M5" s="525"/>
      <c r="N5" s="525" t="s">
        <v>657</v>
      </c>
    </row>
    <row r="6" spans="1:14" s="526" customFormat="1" ht="13.5" customHeight="1">
      <c r="A6" s="887" t="s">
        <v>553</v>
      </c>
      <c r="B6" s="887"/>
      <c r="C6" s="887"/>
      <c r="D6" s="888" t="s">
        <v>658</v>
      </c>
      <c r="E6" s="889" t="s">
        <v>659</v>
      </c>
      <c r="F6" s="890" t="s">
        <v>660</v>
      </c>
      <c r="G6" s="890"/>
      <c r="H6" s="890"/>
      <c r="I6" s="890"/>
      <c r="J6" s="890"/>
      <c r="K6" s="890" t="s">
        <v>661</v>
      </c>
      <c r="L6" s="890"/>
      <c r="M6" s="893" t="s">
        <v>662</v>
      </c>
      <c r="N6" s="891" t="s">
        <v>543</v>
      </c>
    </row>
    <row r="7" spans="1:14" s="526" customFormat="1" ht="12" customHeight="1">
      <c r="A7" s="887"/>
      <c r="B7" s="887"/>
      <c r="C7" s="887"/>
      <c r="D7" s="888"/>
      <c r="E7" s="889"/>
      <c r="F7" s="880" t="s">
        <v>663</v>
      </c>
      <c r="G7" s="880" t="s">
        <v>664</v>
      </c>
      <c r="H7" s="880" t="s">
        <v>665</v>
      </c>
      <c r="I7" s="880" t="s">
        <v>666</v>
      </c>
      <c r="J7" s="880" t="s">
        <v>667</v>
      </c>
      <c r="K7" s="892" t="s">
        <v>550</v>
      </c>
      <c r="L7" s="892" t="s">
        <v>541</v>
      </c>
      <c r="M7" s="893"/>
      <c r="N7" s="891"/>
    </row>
    <row r="8" spans="1:14" s="526" customFormat="1" ht="39" customHeight="1">
      <c r="A8" s="887"/>
      <c r="B8" s="887"/>
      <c r="C8" s="887"/>
      <c r="D8" s="888"/>
      <c r="E8" s="889"/>
      <c r="F8" s="880"/>
      <c r="G8" s="880"/>
      <c r="H8" s="880"/>
      <c r="I8" s="880"/>
      <c r="J8" s="880"/>
      <c r="K8" s="892"/>
      <c r="L8" s="892"/>
      <c r="M8" s="893"/>
      <c r="N8" s="891"/>
    </row>
    <row r="9" spans="1:14" s="526" customFormat="1" ht="12" customHeight="1">
      <c r="A9" s="527" t="s">
        <v>668</v>
      </c>
      <c r="B9" s="528" t="s">
        <v>669</v>
      </c>
      <c r="C9" s="529" t="s">
        <v>522</v>
      </c>
      <c r="D9" s="530">
        <v>1100</v>
      </c>
      <c r="E9" s="530">
        <f aca="true" t="shared" si="0" ref="E9:E39">SUM(F9:N9)</f>
        <v>8615</v>
      </c>
      <c r="F9" s="530"/>
      <c r="G9" s="530"/>
      <c r="H9" s="530">
        <v>8150</v>
      </c>
      <c r="I9" s="530">
        <v>465</v>
      </c>
      <c r="J9" s="530"/>
      <c r="K9" s="530"/>
      <c r="L9" s="530"/>
      <c r="M9" s="530"/>
      <c r="N9" s="531"/>
    </row>
    <row r="10" spans="1:14" s="526" customFormat="1" ht="12" customHeight="1">
      <c r="A10" s="532">
        <v>360000</v>
      </c>
      <c r="B10" s="533" t="s">
        <v>670</v>
      </c>
      <c r="C10" s="534" t="s">
        <v>522</v>
      </c>
      <c r="D10" s="535">
        <v>1252</v>
      </c>
      <c r="E10" s="530">
        <f t="shared" si="0"/>
        <v>7768</v>
      </c>
      <c r="F10" s="535"/>
      <c r="G10" s="535"/>
      <c r="H10" s="535">
        <v>500</v>
      </c>
      <c r="I10" s="535">
        <v>78</v>
      </c>
      <c r="J10" s="535"/>
      <c r="K10" s="535">
        <v>1050</v>
      </c>
      <c r="L10" s="535">
        <v>6140</v>
      </c>
      <c r="M10" s="535"/>
      <c r="N10" s="536"/>
    </row>
    <row r="11" spans="1:14" s="526" customFormat="1" ht="12" customHeight="1">
      <c r="A11" s="532">
        <v>370000</v>
      </c>
      <c r="B11" s="537" t="s">
        <v>671</v>
      </c>
      <c r="C11" s="534" t="s">
        <v>522</v>
      </c>
      <c r="D11" s="535">
        <v>14450</v>
      </c>
      <c r="E11" s="530">
        <f t="shared" si="0"/>
        <v>36780</v>
      </c>
      <c r="F11" s="535"/>
      <c r="G11" s="535"/>
      <c r="H11" s="535">
        <v>17000</v>
      </c>
      <c r="I11" s="535">
        <v>8525</v>
      </c>
      <c r="J11" s="535"/>
      <c r="K11" s="535">
        <v>10805</v>
      </c>
      <c r="L11" s="535">
        <v>450</v>
      </c>
      <c r="M11" s="535"/>
      <c r="N11" s="536"/>
    </row>
    <row r="12" spans="1:14" s="526" customFormat="1" ht="12" customHeight="1">
      <c r="A12" s="532">
        <v>381103</v>
      </c>
      <c r="B12" s="537" t="s">
        <v>672</v>
      </c>
      <c r="C12" s="534" t="s">
        <v>522</v>
      </c>
      <c r="D12" s="535"/>
      <c r="E12" s="530">
        <f t="shared" si="0"/>
        <v>31525</v>
      </c>
      <c r="F12" s="535"/>
      <c r="G12" s="535"/>
      <c r="H12" s="535">
        <v>18825</v>
      </c>
      <c r="I12" s="535">
        <v>12700</v>
      </c>
      <c r="J12" s="535"/>
      <c r="K12" s="535"/>
      <c r="L12" s="535"/>
      <c r="M12" s="535"/>
      <c r="N12" s="536"/>
    </row>
    <row r="13" spans="1:14" s="526" customFormat="1" ht="12" customHeight="1">
      <c r="A13" s="532">
        <v>412000</v>
      </c>
      <c r="B13" s="537" t="s">
        <v>673</v>
      </c>
      <c r="C13" s="534" t="s">
        <v>522</v>
      </c>
      <c r="D13" s="535">
        <v>1069774</v>
      </c>
      <c r="E13" s="530">
        <f t="shared" si="0"/>
        <v>2163087</v>
      </c>
      <c r="F13" s="535"/>
      <c r="G13" s="535"/>
      <c r="H13" s="535"/>
      <c r="I13" s="535">
        <v>98996</v>
      </c>
      <c r="J13" s="535"/>
      <c r="K13" s="535">
        <v>62341</v>
      </c>
      <c r="L13" s="535">
        <v>1996750</v>
      </c>
      <c r="M13" s="535">
        <v>5000</v>
      </c>
      <c r="N13" s="536"/>
    </row>
    <row r="14" spans="1:14" s="526" customFormat="1" ht="12" customHeight="1">
      <c r="A14" s="532">
        <v>421100</v>
      </c>
      <c r="B14" s="537" t="s">
        <v>674</v>
      </c>
      <c r="C14" s="534" t="s">
        <v>522</v>
      </c>
      <c r="D14" s="535">
        <v>101933</v>
      </c>
      <c r="E14" s="530">
        <f t="shared" si="0"/>
        <v>321431</v>
      </c>
      <c r="F14" s="535"/>
      <c r="G14" s="535"/>
      <c r="H14" s="535">
        <v>6180</v>
      </c>
      <c r="I14" s="535">
        <v>35073</v>
      </c>
      <c r="J14" s="535"/>
      <c r="K14" s="535">
        <v>10000</v>
      </c>
      <c r="L14" s="535">
        <v>253178</v>
      </c>
      <c r="M14" s="535"/>
      <c r="N14" s="536">
        <v>17000</v>
      </c>
    </row>
    <row r="15" spans="1:14" s="526" customFormat="1" ht="12" customHeight="1">
      <c r="A15" s="532">
        <v>493909</v>
      </c>
      <c r="B15" s="537" t="s">
        <v>561</v>
      </c>
      <c r="C15" s="534" t="s">
        <v>522</v>
      </c>
      <c r="D15" s="535"/>
      <c r="E15" s="530">
        <f t="shared" si="0"/>
        <v>4500</v>
      </c>
      <c r="F15" s="535"/>
      <c r="G15" s="535"/>
      <c r="H15" s="535"/>
      <c r="I15" s="535">
        <v>4500</v>
      </c>
      <c r="J15" s="535"/>
      <c r="K15" s="535"/>
      <c r="L15" s="535"/>
      <c r="M15" s="535"/>
      <c r="N15" s="536"/>
    </row>
    <row r="16" spans="1:14" s="526" customFormat="1" ht="12" customHeight="1">
      <c r="A16" s="532">
        <v>522110</v>
      </c>
      <c r="B16" s="537" t="s">
        <v>675</v>
      </c>
      <c r="C16" s="534" t="s">
        <v>522</v>
      </c>
      <c r="D16" s="535"/>
      <c r="E16" s="530">
        <f t="shared" si="0"/>
        <v>44818</v>
      </c>
      <c r="F16" s="535"/>
      <c r="G16" s="535"/>
      <c r="H16" s="535">
        <v>36525</v>
      </c>
      <c r="I16" s="535">
        <v>8293</v>
      </c>
      <c r="J16" s="538"/>
      <c r="K16" s="538"/>
      <c r="L16" s="535"/>
      <c r="M16" s="535"/>
      <c r="N16" s="536"/>
    </row>
    <row r="17" spans="1:14" s="526" customFormat="1" ht="12" customHeight="1">
      <c r="A17" s="532">
        <v>552001</v>
      </c>
      <c r="B17" s="537" t="s">
        <v>676</v>
      </c>
      <c r="C17" s="534" t="s">
        <v>522</v>
      </c>
      <c r="D17" s="535">
        <v>2840</v>
      </c>
      <c r="E17" s="530">
        <f t="shared" si="0"/>
        <v>5818</v>
      </c>
      <c r="F17" s="535"/>
      <c r="G17" s="535"/>
      <c r="H17" s="535">
        <v>3618</v>
      </c>
      <c r="I17" s="535"/>
      <c r="J17" s="538"/>
      <c r="K17" s="599">
        <v>2200</v>
      </c>
      <c r="L17" s="535"/>
      <c r="M17" s="535"/>
      <c r="N17" s="536"/>
    </row>
    <row r="18" spans="1:14" s="526" customFormat="1" ht="12" customHeight="1">
      <c r="A18" s="539">
        <v>581100</v>
      </c>
      <c r="B18" s="540" t="s">
        <v>677</v>
      </c>
      <c r="C18" s="534" t="s">
        <v>522</v>
      </c>
      <c r="D18" s="535"/>
      <c r="E18" s="530">
        <f t="shared" si="0"/>
        <v>1800</v>
      </c>
      <c r="F18" s="541"/>
      <c r="G18" s="541"/>
      <c r="H18" s="541">
        <v>1800</v>
      </c>
      <c r="I18" s="541"/>
      <c r="J18" s="541"/>
      <c r="K18" s="541"/>
      <c r="L18" s="541"/>
      <c r="M18" s="541"/>
      <c r="N18" s="542"/>
    </row>
    <row r="19" spans="1:14" s="526" customFormat="1" ht="12" customHeight="1">
      <c r="A19" s="532">
        <v>581900</v>
      </c>
      <c r="B19" s="537" t="s">
        <v>678</v>
      </c>
      <c r="C19" s="534" t="s">
        <v>522</v>
      </c>
      <c r="D19" s="535"/>
      <c r="E19" s="530">
        <f t="shared" si="0"/>
        <v>13518</v>
      </c>
      <c r="F19" s="535">
        <v>3520</v>
      </c>
      <c r="G19" s="535">
        <v>748</v>
      </c>
      <c r="H19" s="535">
        <v>9250</v>
      </c>
      <c r="I19" s="535"/>
      <c r="J19" s="535"/>
      <c r="K19" s="535"/>
      <c r="L19" s="535"/>
      <c r="M19" s="535"/>
      <c r="N19" s="536"/>
    </row>
    <row r="20" spans="1:14" s="526" customFormat="1" ht="12" customHeight="1">
      <c r="A20" s="532">
        <v>681000</v>
      </c>
      <c r="B20" s="537" t="s">
        <v>679</v>
      </c>
      <c r="C20" s="534" t="s">
        <v>522</v>
      </c>
      <c r="D20" s="535">
        <v>230585</v>
      </c>
      <c r="E20" s="530">
        <f t="shared" si="0"/>
        <v>36000</v>
      </c>
      <c r="F20" s="535"/>
      <c r="G20" s="535"/>
      <c r="H20" s="535">
        <v>13000</v>
      </c>
      <c r="I20" s="535"/>
      <c r="J20" s="535"/>
      <c r="K20" s="535"/>
      <c r="L20" s="535">
        <v>23000</v>
      </c>
      <c r="M20" s="535"/>
      <c r="N20" s="536"/>
    </row>
    <row r="21" spans="1:14" s="526" customFormat="1" ht="12" customHeight="1">
      <c r="A21" s="532">
        <v>682001</v>
      </c>
      <c r="B21" s="537" t="s">
        <v>680</v>
      </c>
      <c r="C21" s="534" t="s">
        <v>522</v>
      </c>
      <c r="D21" s="535">
        <v>116540</v>
      </c>
      <c r="E21" s="530">
        <f t="shared" si="0"/>
        <v>37696</v>
      </c>
      <c r="F21" s="535"/>
      <c r="G21" s="535"/>
      <c r="H21" s="535">
        <v>37696</v>
      </c>
      <c r="I21" s="535"/>
      <c r="J21" s="535"/>
      <c r="K21" s="535"/>
      <c r="L21" s="535"/>
      <c r="M21" s="535"/>
      <c r="N21" s="536"/>
    </row>
    <row r="22" spans="1:14" s="526" customFormat="1" ht="12" customHeight="1">
      <c r="A22" s="532">
        <v>682002</v>
      </c>
      <c r="B22" s="537" t="s">
        <v>681</v>
      </c>
      <c r="C22" s="534" t="s">
        <v>522</v>
      </c>
      <c r="D22" s="535">
        <v>47281</v>
      </c>
      <c r="E22" s="530">
        <f t="shared" si="0"/>
        <v>4380</v>
      </c>
      <c r="F22" s="535"/>
      <c r="G22" s="535"/>
      <c r="H22" s="535">
        <v>4380</v>
      </c>
      <c r="I22" s="535"/>
      <c r="J22" s="535"/>
      <c r="K22" s="535"/>
      <c r="L22" s="535"/>
      <c r="M22" s="535"/>
      <c r="N22" s="536"/>
    </row>
    <row r="23" spans="1:14" s="526" customFormat="1" ht="12" customHeight="1">
      <c r="A23" s="532">
        <v>683200</v>
      </c>
      <c r="B23" s="537" t="s">
        <v>682</v>
      </c>
      <c r="C23" s="534" t="s">
        <v>522</v>
      </c>
      <c r="D23" s="535"/>
      <c r="E23" s="530">
        <f t="shared" si="0"/>
        <v>4700</v>
      </c>
      <c r="F23" s="535"/>
      <c r="G23" s="535"/>
      <c r="H23" s="535">
        <v>4700</v>
      </c>
      <c r="I23" s="535"/>
      <c r="J23" s="535"/>
      <c r="K23" s="535"/>
      <c r="L23" s="535"/>
      <c r="M23" s="535"/>
      <c r="N23" s="536"/>
    </row>
    <row r="24" spans="1:14" s="526" customFormat="1" ht="12" customHeight="1">
      <c r="A24" s="532">
        <v>750000</v>
      </c>
      <c r="B24" s="537" t="s">
        <v>683</v>
      </c>
      <c r="C24" s="534" t="s">
        <v>522</v>
      </c>
      <c r="D24" s="535"/>
      <c r="E24" s="530">
        <f t="shared" si="0"/>
        <v>4356</v>
      </c>
      <c r="F24" s="535"/>
      <c r="G24" s="535"/>
      <c r="H24" s="535">
        <v>3000</v>
      </c>
      <c r="I24" s="535">
        <v>1356</v>
      </c>
      <c r="J24" s="535"/>
      <c r="K24" s="535"/>
      <c r="L24" s="535"/>
      <c r="M24" s="535"/>
      <c r="N24" s="536"/>
    </row>
    <row r="25" spans="1:14" s="526" customFormat="1" ht="12" customHeight="1">
      <c r="A25" s="532">
        <v>773000</v>
      </c>
      <c r="B25" s="537" t="s">
        <v>684</v>
      </c>
      <c r="C25" s="534" t="s">
        <v>522</v>
      </c>
      <c r="D25" s="535"/>
      <c r="E25" s="530">
        <f t="shared" si="0"/>
        <v>3906</v>
      </c>
      <c r="F25" s="541"/>
      <c r="G25" s="541"/>
      <c r="H25" s="541">
        <v>3906</v>
      </c>
      <c r="I25" s="541"/>
      <c r="J25" s="541"/>
      <c r="K25" s="541"/>
      <c r="L25" s="541"/>
      <c r="M25" s="541"/>
      <c r="N25" s="542"/>
    </row>
    <row r="26" spans="1:14" s="526" customFormat="1" ht="12" customHeight="1">
      <c r="A26" s="532">
        <v>813000</v>
      </c>
      <c r="B26" s="537" t="s">
        <v>685</v>
      </c>
      <c r="C26" s="534" t="s">
        <v>522</v>
      </c>
      <c r="D26" s="535"/>
      <c r="E26" s="530">
        <f t="shared" si="0"/>
        <v>69718</v>
      </c>
      <c r="F26" s="535"/>
      <c r="G26" s="535"/>
      <c r="H26" s="535">
        <v>50620</v>
      </c>
      <c r="I26" s="535">
        <v>19098</v>
      </c>
      <c r="J26" s="535"/>
      <c r="K26" s="535"/>
      <c r="L26" s="535"/>
      <c r="M26" s="535"/>
      <c r="N26" s="536"/>
    </row>
    <row r="27" spans="1:14" s="526" customFormat="1" ht="12" customHeight="1">
      <c r="A27" s="532">
        <v>813000</v>
      </c>
      <c r="B27" s="537" t="s">
        <v>686</v>
      </c>
      <c r="C27" s="534" t="s">
        <v>522</v>
      </c>
      <c r="D27" s="535"/>
      <c r="E27" s="530">
        <f t="shared" si="0"/>
        <v>2000</v>
      </c>
      <c r="F27" s="535"/>
      <c r="G27" s="535"/>
      <c r="H27" s="535">
        <v>2000</v>
      </c>
      <c r="I27" s="535"/>
      <c r="J27" s="535"/>
      <c r="K27" s="535"/>
      <c r="L27" s="535"/>
      <c r="M27" s="535"/>
      <c r="N27" s="536"/>
    </row>
    <row r="28" spans="1:14" s="526" customFormat="1" ht="12" customHeight="1">
      <c r="A28" s="532">
        <v>821900</v>
      </c>
      <c r="B28" s="537" t="s">
        <v>691</v>
      </c>
      <c r="C28" s="534" t="s">
        <v>522</v>
      </c>
      <c r="D28" s="535"/>
      <c r="E28" s="530">
        <f t="shared" si="0"/>
        <v>4250</v>
      </c>
      <c r="F28" s="541"/>
      <c r="G28" s="541"/>
      <c r="H28" s="541">
        <v>4250</v>
      </c>
      <c r="I28" s="541"/>
      <c r="J28" s="541"/>
      <c r="K28" s="541"/>
      <c r="L28" s="541"/>
      <c r="M28" s="541"/>
      <c r="N28" s="542"/>
    </row>
    <row r="29" spans="1:14" s="526" customFormat="1" ht="12" customHeight="1">
      <c r="A29" s="532">
        <v>841112</v>
      </c>
      <c r="B29" s="537" t="s">
        <v>692</v>
      </c>
      <c r="C29" s="534" t="s">
        <v>522</v>
      </c>
      <c r="D29" s="535"/>
      <c r="E29" s="530">
        <f t="shared" si="0"/>
        <v>48459</v>
      </c>
      <c r="F29" s="541">
        <v>38188</v>
      </c>
      <c r="G29" s="541">
        <v>10271</v>
      </c>
      <c r="H29" s="541"/>
      <c r="I29" s="541"/>
      <c r="J29" s="541"/>
      <c r="K29" s="541"/>
      <c r="L29" s="541"/>
      <c r="M29" s="541"/>
      <c r="N29" s="542"/>
    </row>
    <row r="30" spans="1:14" s="526" customFormat="1" ht="12" customHeight="1">
      <c r="A30" s="532">
        <v>841116</v>
      </c>
      <c r="B30" s="537" t="s">
        <v>515</v>
      </c>
      <c r="C30" s="534" t="s">
        <v>522</v>
      </c>
      <c r="D30" s="535">
        <v>3</v>
      </c>
      <c r="E30" s="530">
        <f t="shared" si="0"/>
        <v>3</v>
      </c>
      <c r="F30" s="541"/>
      <c r="G30" s="541"/>
      <c r="H30" s="541">
        <v>3</v>
      </c>
      <c r="I30" s="541"/>
      <c r="J30" s="541"/>
      <c r="K30" s="541"/>
      <c r="L30" s="541"/>
      <c r="M30" s="541"/>
      <c r="N30" s="542"/>
    </row>
    <row r="31" spans="1:14" s="526" customFormat="1" ht="12" customHeight="1">
      <c r="A31" s="532">
        <v>841126</v>
      </c>
      <c r="B31" s="537" t="s">
        <v>693</v>
      </c>
      <c r="C31" s="534" t="s">
        <v>522</v>
      </c>
      <c r="D31" s="535">
        <v>87215</v>
      </c>
      <c r="E31" s="530">
        <f t="shared" si="0"/>
        <v>1080392</v>
      </c>
      <c r="F31" s="541">
        <v>231678</v>
      </c>
      <c r="G31" s="541">
        <v>75612</v>
      </c>
      <c r="H31" s="541">
        <v>221450</v>
      </c>
      <c r="I31" s="541">
        <v>28750</v>
      </c>
      <c r="J31" s="541"/>
      <c r="K31" s="541"/>
      <c r="L31" s="541">
        <v>24431</v>
      </c>
      <c r="M31" s="541"/>
      <c r="N31" s="542">
        <v>498471</v>
      </c>
    </row>
    <row r="32" spans="1:14" s="526" customFormat="1" ht="12" customHeight="1">
      <c r="A32" s="532">
        <v>841126</v>
      </c>
      <c r="B32" s="537" t="s">
        <v>694</v>
      </c>
      <c r="C32" s="534" t="s">
        <v>522</v>
      </c>
      <c r="D32" s="535">
        <v>601932</v>
      </c>
      <c r="E32" s="530">
        <f t="shared" si="0"/>
        <v>0</v>
      </c>
      <c r="F32" s="541"/>
      <c r="G32" s="541"/>
      <c r="H32" s="541"/>
      <c r="I32" s="541"/>
      <c r="J32" s="541"/>
      <c r="K32" s="541"/>
      <c r="L32" s="541"/>
      <c r="M32" s="541"/>
      <c r="N32" s="542"/>
    </row>
    <row r="33" spans="1:14" s="526" customFormat="1" ht="12" customHeight="1">
      <c r="A33" s="532">
        <v>841133</v>
      </c>
      <c r="B33" s="537" t="s">
        <v>565</v>
      </c>
      <c r="C33" s="534" t="s">
        <v>522</v>
      </c>
      <c r="D33" s="535">
        <v>1452675</v>
      </c>
      <c r="E33" s="530">
        <f t="shared" si="0"/>
        <v>54842</v>
      </c>
      <c r="F33" s="541">
        <v>43764</v>
      </c>
      <c r="G33" s="541">
        <v>11078</v>
      </c>
      <c r="H33" s="541"/>
      <c r="I33" s="541"/>
      <c r="J33" s="541"/>
      <c r="K33" s="541"/>
      <c r="L33" s="541"/>
      <c r="M33" s="541"/>
      <c r="N33" s="542"/>
    </row>
    <row r="34" spans="1:14" s="526" customFormat="1" ht="12" customHeight="1">
      <c r="A34" s="532">
        <v>841191</v>
      </c>
      <c r="B34" s="537" t="s">
        <v>695</v>
      </c>
      <c r="C34" s="534" t="s">
        <v>522</v>
      </c>
      <c r="D34" s="535"/>
      <c r="E34" s="530">
        <f t="shared" si="0"/>
        <v>0</v>
      </c>
      <c r="F34" s="541"/>
      <c r="G34" s="541"/>
      <c r="H34" s="541"/>
      <c r="I34" s="541"/>
      <c r="J34" s="541"/>
      <c r="K34" s="541"/>
      <c r="L34" s="541"/>
      <c r="M34" s="541"/>
      <c r="N34" s="542"/>
    </row>
    <row r="35" spans="1:14" s="526" customFormat="1" ht="12" customHeight="1">
      <c r="A35" s="532">
        <v>841192</v>
      </c>
      <c r="B35" s="537" t="s">
        <v>696</v>
      </c>
      <c r="C35" s="534" t="s">
        <v>522</v>
      </c>
      <c r="D35" s="535">
        <v>1500</v>
      </c>
      <c r="E35" s="530">
        <f t="shared" si="0"/>
        <v>2000</v>
      </c>
      <c r="F35" s="541"/>
      <c r="G35" s="541"/>
      <c r="H35" s="541">
        <v>2000</v>
      </c>
      <c r="I35" s="541"/>
      <c r="J35" s="541"/>
      <c r="K35" s="541"/>
      <c r="L35" s="541"/>
      <c r="M35" s="543"/>
      <c r="N35" s="542"/>
    </row>
    <row r="36" spans="1:14" s="526" customFormat="1" ht="12" customHeight="1">
      <c r="A36" s="532">
        <v>841192</v>
      </c>
      <c r="B36" s="537" t="s">
        <v>697</v>
      </c>
      <c r="C36" s="534" t="s">
        <v>522</v>
      </c>
      <c r="D36" s="535"/>
      <c r="E36" s="530">
        <f t="shared" si="0"/>
        <v>5080</v>
      </c>
      <c r="F36" s="541">
        <v>4000</v>
      </c>
      <c r="G36" s="541">
        <v>1080</v>
      </c>
      <c r="H36" s="541"/>
      <c r="I36" s="541"/>
      <c r="J36" s="541"/>
      <c r="K36" s="541"/>
      <c r="L36" s="541"/>
      <c r="M36" s="543"/>
      <c r="N36" s="542"/>
    </row>
    <row r="37" spans="1:14" s="526" customFormat="1" ht="12" customHeight="1">
      <c r="A37" s="532">
        <v>841192</v>
      </c>
      <c r="B37" s="537" t="s">
        <v>698</v>
      </c>
      <c r="C37" s="534" t="s">
        <v>522</v>
      </c>
      <c r="D37" s="535">
        <v>1000</v>
      </c>
      <c r="E37" s="530">
        <f t="shared" si="0"/>
        <v>0</v>
      </c>
      <c r="F37" s="541"/>
      <c r="G37" s="541"/>
      <c r="H37" s="541"/>
      <c r="I37" s="541"/>
      <c r="J37" s="541"/>
      <c r="K37" s="541"/>
      <c r="L37" s="541"/>
      <c r="M37" s="541"/>
      <c r="N37" s="542"/>
    </row>
    <row r="38" spans="1:14" s="526" customFormat="1" ht="12" customHeight="1">
      <c r="A38" s="532">
        <v>841401</v>
      </c>
      <c r="B38" s="537" t="s">
        <v>699</v>
      </c>
      <c r="C38" s="534" t="s">
        <v>522</v>
      </c>
      <c r="D38" s="535"/>
      <c r="E38" s="530">
        <f t="shared" si="0"/>
        <v>11375</v>
      </c>
      <c r="F38" s="535"/>
      <c r="G38" s="535"/>
      <c r="H38" s="535">
        <v>11375</v>
      </c>
      <c r="I38" s="535"/>
      <c r="J38" s="535"/>
      <c r="K38" s="535"/>
      <c r="L38" s="535"/>
      <c r="M38" s="535"/>
      <c r="N38" s="536"/>
    </row>
    <row r="39" spans="1:14" s="526" customFormat="1" ht="12" customHeight="1">
      <c r="A39" s="532">
        <v>841402</v>
      </c>
      <c r="B39" s="537" t="s">
        <v>700</v>
      </c>
      <c r="C39" s="534" t="s">
        <v>522</v>
      </c>
      <c r="D39" s="535"/>
      <c r="E39" s="530">
        <f t="shared" si="0"/>
        <v>46395</v>
      </c>
      <c r="F39" s="535"/>
      <c r="G39" s="535"/>
      <c r="H39" s="535">
        <v>46395</v>
      </c>
      <c r="I39" s="535"/>
      <c r="J39" s="535"/>
      <c r="K39" s="535"/>
      <c r="L39" s="535"/>
      <c r="M39" s="535"/>
      <c r="N39" s="536"/>
    </row>
    <row r="40" spans="1:14" s="526" customFormat="1" ht="11.25" customHeight="1">
      <c r="A40" s="532">
        <v>841403</v>
      </c>
      <c r="B40" s="537" t="s">
        <v>701</v>
      </c>
      <c r="C40" s="534" t="s">
        <v>522</v>
      </c>
      <c r="D40" s="535">
        <v>17535</v>
      </c>
      <c r="E40" s="530">
        <f aca="true" t="shared" si="1" ref="E40:E66">SUM(F40:N40)</f>
        <v>181216</v>
      </c>
      <c r="F40" s="535">
        <v>79928</v>
      </c>
      <c r="G40" s="535">
        <v>19994</v>
      </c>
      <c r="H40" s="535">
        <v>6567</v>
      </c>
      <c r="I40" s="535">
        <v>69727</v>
      </c>
      <c r="J40" s="535"/>
      <c r="K40" s="535"/>
      <c r="L40" s="535"/>
      <c r="M40" s="535">
        <v>5000</v>
      </c>
      <c r="N40" s="536"/>
    </row>
    <row r="41" spans="1:14" s="526" customFormat="1" ht="12" customHeight="1">
      <c r="A41" s="532">
        <v>841403</v>
      </c>
      <c r="B41" s="537" t="s">
        <v>702</v>
      </c>
      <c r="C41" s="534" t="s">
        <v>522</v>
      </c>
      <c r="D41" s="535">
        <v>5400</v>
      </c>
      <c r="E41" s="530">
        <f t="shared" si="1"/>
        <v>121463</v>
      </c>
      <c r="F41" s="535">
        <v>80</v>
      </c>
      <c r="G41" s="535">
        <v>25</v>
      </c>
      <c r="H41" s="535">
        <v>18035</v>
      </c>
      <c r="I41" s="535">
        <v>77323</v>
      </c>
      <c r="J41" s="535"/>
      <c r="K41" s="535">
        <v>5000</v>
      </c>
      <c r="L41" s="535"/>
      <c r="M41" s="535">
        <v>21000</v>
      </c>
      <c r="N41" s="536"/>
    </row>
    <row r="42" spans="1:14" s="526" customFormat="1" ht="12" customHeight="1">
      <c r="A42" s="532">
        <v>841403</v>
      </c>
      <c r="B42" s="537" t="s">
        <v>703</v>
      </c>
      <c r="C42" s="534" t="s">
        <v>522</v>
      </c>
      <c r="D42" s="535">
        <v>1600</v>
      </c>
      <c r="E42" s="530">
        <f t="shared" si="1"/>
        <v>34963</v>
      </c>
      <c r="F42" s="541">
        <v>1000</v>
      </c>
      <c r="G42" s="541">
        <v>300</v>
      </c>
      <c r="H42" s="541">
        <v>18163</v>
      </c>
      <c r="I42" s="541">
        <v>13000</v>
      </c>
      <c r="J42" s="541"/>
      <c r="K42" s="541"/>
      <c r="L42" s="541">
        <v>2500</v>
      </c>
      <c r="M42" s="541"/>
      <c r="N42" s="542"/>
    </row>
    <row r="43" spans="1:14" s="526" customFormat="1" ht="12" customHeight="1">
      <c r="A43" s="532">
        <v>841901</v>
      </c>
      <c r="B43" s="537" t="s">
        <v>704</v>
      </c>
      <c r="C43" s="534" t="s">
        <v>522</v>
      </c>
      <c r="D43" s="535">
        <v>1284228</v>
      </c>
      <c r="E43" s="530">
        <f t="shared" si="1"/>
        <v>0</v>
      </c>
      <c r="F43" s="541"/>
      <c r="G43" s="541"/>
      <c r="H43" s="541"/>
      <c r="I43" s="541"/>
      <c r="J43" s="541"/>
      <c r="K43" s="541"/>
      <c r="L43" s="541"/>
      <c r="M43" s="543"/>
      <c r="N43" s="542"/>
    </row>
    <row r="44" spans="1:14" s="526" customFormat="1" ht="12" customHeight="1">
      <c r="A44" s="532">
        <v>841901</v>
      </c>
      <c r="B44" s="537" t="s">
        <v>705</v>
      </c>
      <c r="C44" s="534" t="s">
        <v>522</v>
      </c>
      <c r="D44" s="535"/>
      <c r="E44" s="530">
        <f t="shared" si="1"/>
        <v>0</v>
      </c>
      <c r="F44" s="541"/>
      <c r="G44" s="541"/>
      <c r="H44" s="541"/>
      <c r="I44" s="541"/>
      <c r="J44" s="541"/>
      <c r="K44" s="541"/>
      <c r="L44" s="541"/>
      <c r="M44" s="541"/>
      <c r="N44" s="542"/>
    </row>
    <row r="45" spans="1:14" s="526" customFormat="1" ht="12" customHeight="1">
      <c r="A45" s="532">
        <v>841906</v>
      </c>
      <c r="B45" s="537" t="s">
        <v>41</v>
      </c>
      <c r="C45" s="534" t="s">
        <v>522</v>
      </c>
      <c r="D45" s="535">
        <v>1000000</v>
      </c>
      <c r="E45" s="530">
        <f t="shared" si="1"/>
        <v>84551</v>
      </c>
      <c r="F45" s="541"/>
      <c r="G45" s="541"/>
      <c r="H45" s="541">
        <v>64174</v>
      </c>
      <c r="I45" s="541"/>
      <c r="J45" s="541"/>
      <c r="K45" s="541"/>
      <c r="L45" s="541"/>
      <c r="M45" s="541">
        <v>20377</v>
      </c>
      <c r="N45" s="542"/>
    </row>
    <row r="46" spans="1:14" s="526" customFormat="1" ht="12" customHeight="1">
      <c r="A46" s="532">
        <v>841907</v>
      </c>
      <c r="B46" s="537" t="s">
        <v>566</v>
      </c>
      <c r="C46" s="534" t="s">
        <v>522</v>
      </c>
      <c r="D46" s="535">
        <v>21933</v>
      </c>
      <c r="E46" s="530">
        <f t="shared" si="1"/>
        <v>41600</v>
      </c>
      <c r="F46" s="541"/>
      <c r="G46" s="541"/>
      <c r="H46" s="541"/>
      <c r="I46" s="541"/>
      <c r="J46" s="541"/>
      <c r="K46" s="541"/>
      <c r="L46" s="541"/>
      <c r="M46" s="541">
        <v>41600</v>
      </c>
      <c r="N46" s="542"/>
    </row>
    <row r="47" spans="1:14" s="526" customFormat="1" ht="12" customHeight="1">
      <c r="A47" s="532">
        <v>841126</v>
      </c>
      <c r="B47" s="537" t="s">
        <v>600</v>
      </c>
      <c r="C47" s="534" t="s">
        <v>522</v>
      </c>
      <c r="D47" s="535"/>
      <c r="E47" s="530">
        <f t="shared" si="1"/>
        <v>11000</v>
      </c>
      <c r="F47" s="541"/>
      <c r="G47" s="541"/>
      <c r="H47" s="541"/>
      <c r="I47" s="541"/>
      <c r="J47" s="541"/>
      <c r="K47" s="541"/>
      <c r="L47" s="541"/>
      <c r="M47" s="541"/>
      <c r="N47" s="542">
        <v>11000</v>
      </c>
    </row>
    <row r="48" spans="1:14" s="526" customFormat="1" ht="12" customHeight="1">
      <c r="A48" s="532">
        <v>842155</v>
      </c>
      <c r="B48" s="537" t="s">
        <v>567</v>
      </c>
      <c r="C48" s="534" t="s">
        <v>522</v>
      </c>
      <c r="D48" s="535">
        <v>18469</v>
      </c>
      <c r="E48" s="530">
        <f t="shared" si="1"/>
        <v>131</v>
      </c>
      <c r="F48" s="541"/>
      <c r="G48" s="541"/>
      <c r="H48" s="541"/>
      <c r="I48" s="541">
        <v>131</v>
      </c>
      <c r="J48" s="541"/>
      <c r="K48" s="541"/>
      <c r="L48" s="541"/>
      <c r="M48" s="541"/>
      <c r="N48" s="542"/>
    </row>
    <row r="49" spans="1:14" s="526" customFormat="1" ht="12" customHeight="1">
      <c r="A49" s="532">
        <v>842155</v>
      </c>
      <c r="B49" s="537" t="s">
        <v>706</v>
      </c>
      <c r="C49" s="534" t="s">
        <v>522</v>
      </c>
      <c r="D49" s="535">
        <v>1378</v>
      </c>
      <c r="E49" s="530">
        <f t="shared" si="1"/>
        <v>10800</v>
      </c>
      <c r="F49" s="541"/>
      <c r="G49" s="541"/>
      <c r="H49" s="541">
        <v>10800</v>
      </c>
      <c r="I49" s="541"/>
      <c r="J49" s="541"/>
      <c r="K49" s="541"/>
      <c r="L49" s="541"/>
      <c r="M49" s="541"/>
      <c r="N49" s="542"/>
    </row>
    <row r="50" spans="1:14" s="526" customFormat="1" ht="12" customHeight="1">
      <c r="A50" s="539">
        <v>842421</v>
      </c>
      <c r="B50" s="540" t="s">
        <v>707</v>
      </c>
      <c r="C50" s="534" t="s">
        <v>522</v>
      </c>
      <c r="D50" s="535"/>
      <c r="E50" s="530">
        <f t="shared" si="1"/>
        <v>3800</v>
      </c>
      <c r="F50" s="543"/>
      <c r="G50" s="543"/>
      <c r="H50" s="541"/>
      <c r="I50" s="543">
        <v>3800</v>
      </c>
      <c r="J50" s="543"/>
      <c r="K50" s="543"/>
      <c r="L50" s="543"/>
      <c r="M50" s="543"/>
      <c r="N50" s="542"/>
    </row>
    <row r="51" spans="1:14" s="544" customFormat="1" ht="12" customHeight="1">
      <c r="A51" s="532">
        <v>842521</v>
      </c>
      <c r="B51" s="537" t="s">
        <v>708</v>
      </c>
      <c r="C51" s="534" t="s">
        <v>522</v>
      </c>
      <c r="D51" s="535"/>
      <c r="E51" s="530">
        <f t="shared" si="1"/>
        <v>250</v>
      </c>
      <c r="F51" s="535"/>
      <c r="G51" s="535"/>
      <c r="H51" s="535">
        <v>250</v>
      </c>
      <c r="I51" s="535"/>
      <c r="J51" s="535"/>
      <c r="K51" s="535"/>
      <c r="L51" s="535"/>
      <c r="M51" s="535"/>
      <c r="N51" s="536"/>
    </row>
    <row r="52" spans="1:14" s="526" customFormat="1" ht="12" customHeight="1">
      <c r="A52" s="532">
        <v>851011</v>
      </c>
      <c r="B52" s="537" t="s">
        <v>716</v>
      </c>
      <c r="C52" s="534" t="s">
        <v>522</v>
      </c>
      <c r="D52" s="535"/>
      <c r="E52" s="530">
        <f t="shared" si="1"/>
        <v>9600</v>
      </c>
      <c r="F52" s="541"/>
      <c r="G52" s="541"/>
      <c r="H52" s="541"/>
      <c r="I52" s="541">
        <v>9600</v>
      </c>
      <c r="J52" s="541"/>
      <c r="K52" s="541"/>
      <c r="L52" s="541"/>
      <c r="M52" s="543"/>
      <c r="N52" s="542"/>
    </row>
    <row r="53" spans="1:14" s="526" customFormat="1" ht="12" customHeight="1">
      <c r="A53" s="532">
        <v>852000</v>
      </c>
      <c r="B53" s="537" t="s">
        <v>717</v>
      </c>
      <c r="C53" s="534" t="s">
        <v>522</v>
      </c>
      <c r="D53" s="535">
        <v>32317</v>
      </c>
      <c r="E53" s="530">
        <f t="shared" si="1"/>
        <v>4000</v>
      </c>
      <c r="F53" s="541"/>
      <c r="G53" s="541"/>
      <c r="H53" s="541"/>
      <c r="I53" s="541">
        <v>4000</v>
      </c>
      <c r="J53" s="541"/>
      <c r="K53" s="541"/>
      <c r="L53" s="541"/>
      <c r="M53" s="543"/>
      <c r="N53" s="542"/>
    </row>
    <row r="54" spans="1:14" s="526" customFormat="1" ht="12" customHeight="1">
      <c r="A54" s="532">
        <v>852000</v>
      </c>
      <c r="B54" s="537" t="s">
        <v>718</v>
      </c>
      <c r="C54" s="534" t="s">
        <v>522</v>
      </c>
      <c r="D54" s="535"/>
      <c r="E54" s="530">
        <f t="shared" si="1"/>
        <v>0</v>
      </c>
      <c r="F54" s="541"/>
      <c r="G54" s="541"/>
      <c r="H54" s="541"/>
      <c r="I54" s="541"/>
      <c r="J54" s="541"/>
      <c r="K54" s="541"/>
      <c r="L54" s="541"/>
      <c r="M54" s="543"/>
      <c r="N54" s="542"/>
    </row>
    <row r="55" spans="1:14" s="526" customFormat="1" ht="12" customHeight="1">
      <c r="A55" s="532">
        <v>852000</v>
      </c>
      <c r="B55" s="537" t="s">
        <v>719</v>
      </c>
      <c r="C55" s="534" t="s">
        <v>522</v>
      </c>
      <c r="D55" s="535"/>
      <c r="E55" s="530">
        <f t="shared" si="1"/>
        <v>0</v>
      </c>
      <c r="F55" s="541"/>
      <c r="G55" s="541"/>
      <c r="H55" s="541"/>
      <c r="I55" s="541"/>
      <c r="J55" s="541"/>
      <c r="K55" s="541"/>
      <c r="L55" s="541"/>
      <c r="M55" s="541"/>
      <c r="N55" s="542"/>
    </row>
    <row r="56" spans="1:14" s="526" customFormat="1" ht="12" customHeight="1">
      <c r="A56" s="532">
        <v>854233</v>
      </c>
      <c r="B56" s="537" t="s">
        <v>720</v>
      </c>
      <c r="C56" s="534" t="s">
        <v>522</v>
      </c>
      <c r="D56" s="535"/>
      <c r="E56" s="530">
        <f t="shared" si="1"/>
        <v>400</v>
      </c>
      <c r="F56" s="541">
        <v>400</v>
      </c>
      <c r="G56" s="541"/>
      <c r="H56" s="541"/>
      <c r="I56" s="541"/>
      <c r="J56" s="541"/>
      <c r="K56" s="541"/>
      <c r="L56" s="541"/>
      <c r="M56" s="543"/>
      <c r="N56" s="542"/>
    </row>
    <row r="57" spans="1:14" s="526" customFormat="1" ht="12" customHeight="1">
      <c r="A57" s="532">
        <v>854234</v>
      </c>
      <c r="B57" s="537" t="s">
        <v>721</v>
      </c>
      <c r="C57" s="534" t="s">
        <v>522</v>
      </c>
      <c r="D57" s="535"/>
      <c r="E57" s="530">
        <f t="shared" si="1"/>
        <v>5500</v>
      </c>
      <c r="F57" s="541"/>
      <c r="G57" s="541"/>
      <c r="H57" s="541"/>
      <c r="I57" s="541">
        <v>5500</v>
      </c>
      <c r="J57" s="541"/>
      <c r="K57" s="541"/>
      <c r="L57" s="541"/>
      <c r="M57" s="543"/>
      <c r="N57" s="542"/>
    </row>
    <row r="58" spans="1:14" s="526" customFormat="1" ht="12" customHeight="1">
      <c r="A58" s="712">
        <v>855100</v>
      </c>
      <c r="B58" s="713" t="s">
        <v>722</v>
      </c>
      <c r="C58" s="714" t="s">
        <v>522</v>
      </c>
      <c r="D58" s="715">
        <v>50</v>
      </c>
      <c r="E58" s="715">
        <f t="shared" si="1"/>
        <v>3450</v>
      </c>
      <c r="F58" s="716"/>
      <c r="G58" s="716"/>
      <c r="H58" s="716">
        <v>3450</v>
      </c>
      <c r="I58" s="716"/>
      <c r="J58" s="716"/>
      <c r="K58" s="716"/>
      <c r="L58" s="716"/>
      <c r="M58" s="716"/>
      <c r="N58" s="717"/>
    </row>
    <row r="59" spans="1:14" s="526" customFormat="1" ht="12" customHeight="1">
      <c r="A59" s="828">
        <v>856000</v>
      </c>
      <c r="B59" s="829" t="s">
        <v>723</v>
      </c>
      <c r="C59" s="830" t="s">
        <v>522</v>
      </c>
      <c r="D59" s="831"/>
      <c r="E59" s="831">
        <f t="shared" si="1"/>
        <v>0</v>
      </c>
      <c r="F59" s="832"/>
      <c r="G59" s="832"/>
      <c r="H59" s="832"/>
      <c r="I59" s="832"/>
      <c r="J59" s="832"/>
      <c r="K59" s="832"/>
      <c r="L59" s="832"/>
      <c r="M59" s="832"/>
      <c r="N59" s="833"/>
    </row>
    <row r="60" spans="1:14" s="526" customFormat="1" ht="12" customHeight="1">
      <c r="A60" s="532">
        <v>856020</v>
      </c>
      <c r="B60" s="537" t="s">
        <v>568</v>
      </c>
      <c r="C60" s="534" t="s">
        <v>522</v>
      </c>
      <c r="D60" s="535"/>
      <c r="E60" s="535">
        <f t="shared" si="1"/>
        <v>1500</v>
      </c>
      <c r="F60" s="541"/>
      <c r="G60" s="541"/>
      <c r="H60" s="541">
        <v>1500</v>
      </c>
      <c r="I60" s="541"/>
      <c r="J60" s="541"/>
      <c r="K60" s="541"/>
      <c r="L60" s="541"/>
      <c r="M60" s="541"/>
      <c r="N60" s="542"/>
    </row>
    <row r="61" spans="1:14" s="526" customFormat="1" ht="12" customHeight="1">
      <c r="A61" s="532">
        <v>860000</v>
      </c>
      <c r="B61" s="537" t="s">
        <v>382</v>
      </c>
      <c r="C61" s="534" t="s">
        <v>522</v>
      </c>
      <c r="D61" s="535"/>
      <c r="E61" s="530">
        <f t="shared" si="1"/>
        <v>800</v>
      </c>
      <c r="F61" s="541"/>
      <c r="G61" s="541"/>
      <c r="H61" s="541"/>
      <c r="I61" s="541">
        <v>800</v>
      </c>
      <c r="J61" s="541"/>
      <c r="K61" s="541"/>
      <c r="L61" s="541"/>
      <c r="M61" s="541"/>
      <c r="N61" s="542"/>
    </row>
    <row r="62" spans="1:14" s="526" customFormat="1" ht="12" customHeight="1" thickBot="1">
      <c r="A62" s="834">
        <v>862000</v>
      </c>
      <c r="B62" s="835" t="s">
        <v>724</v>
      </c>
      <c r="C62" s="836" t="s">
        <v>522</v>
      </c>
      <c r="D62" s="837"/>
      <c r="E62" s="838">
        <f t="shared" si="1"/>
        <v>5950</v>
      </c>
      <c r="F62" s="839"/>
      <c r="G62" s="839"/>
      <c r="H62" s="839"/>
      <c r="I62" s="839">
        <v>5950</v>
      </c>
      <c r="J62" s="839"/>
      <c r="K62" s="839"/>
      <c r="L62" s="839"/>
      <c r="M62" s="839"/>
      <c r="N62" s="840"/>
    </row>
    <row r="63" spans="1:14" s="526" customFormat="1" ht="12" customHeight="1" thickTop="1">
      <c r="A63" s="545">
        <v>881011</v>
      </c>
      <c r="B63" s="528" t="s">
        <v>569</v>
      </c>
      <c r="C63" s="529" t="s">
        <v>522</v>
      </c>
      <c r="D63" s="530"/>
      <c r="E63" s="530">
        <f t="shared" si="1"/>
        <v>1500</v>
      </c>
      <c r="F63" s="546"/>
      <c r="G63" s="546"/>
      <c r="H63" s="546"/>
      <c r="I63" s="546">
        <v>1500</v>
      </c>
      <c r="J63" s="546"/>
      <c r="K63" s="546"/>
      <c r="L63" s="546"/>
      <c r="M63" s="546"/>
      <c r="N63" s="547"/>
    </row>
    <row r="64" spans="1:14" s="526" customFormat="1" ht="12" customHeight="1">
      <c r="A64" s="532">
        <v>882000</v>
      </c>
      <c r="B64" s="537" t="s">
        <v>570</v>
      </c>
      <c r="C64" s="534" t="s">
        <v>522</v>
      </c>
      <c r="D64" s="535"/>
      <c r="E64" s="530">
        <f t="shared" si="1"/>
        <v>38500</v>
      </c>
      <c r="F64" s="541"/>
      <c r="G64" s="541"/>
      <c r="H64" s="541"/>
      <c r="I64" s="541">
        <v>38500</v>
      </c>
      <c r="J64" s="541"/>
      <c r="K64" s="541"/>
      <c r="L64" s="541"/>
      <c r="M64" s="541"/>
      <c r="N64" s="542"/>
    </row>
    <row r="65" spans="1:14" s="526" customFormat="1" ht="12" customHeight="1">
      <c r="A65" s="532">
        <v>882111</v>
      </c>
      <c r="B65" s="537" t="s">
        <v>635</v>
      </c>
      <c r="C65" s="534" t="s">
        <v>522</v>
      </c>
      <c r="D65" s="535">
        <v>48060</v>
      </c>
      <c r="E65" s="530">
        <f t="shared" si="1"/>
        <v>62200</v>
      </c>
      <c r="F65" s="541"/>
      <c r="G65" s="541"/>
      <c r="H65" s="541"/>
      <c r="I65" s="541"/>
      <c r="J65" s="541">
        <v>62200</v>
      </c>
      <c r="K65" s="541"/>
      <c r="L65" s="541"/>
      <c r="M65" s="541"/>
      <c r="N65" s="542"/>
    </row>
    <row r="66" spans="1:14" s="526" customFormat="1" ht="12" customHeight="1">
      <c r="A66" s="562">
        <v>882112</v>
      </c>
      <c r="B66" s="563" t="s">
        <v>497</v>
      </c>
      <c r="C66" s="564" t="s">
        <v>522</v>
      </c>
      <c r="D66" s="565">
        <v>1170</v>
      </c>
      <c r="E66" s="566">
        <f t="shared" si="1"/>
        <v>1300</v>
      </c>
      <c r="F66" s="565"/>
      <c r="G66" s="565"/>
      <c r="H66" s="565"/>
      <c r="I66" s="565"/>
      <c r="J66" s="565">
        <v>1300</v>
      </c>
      <c r="K66" s="565"/>
      <c r="L66" s="565"/>
      <c r="M66" s="565"/>
      <c r="N66" s="567"/>
    </row>
    <row r="67" spans="1:14" s="526" customFormat="1" ht="12" customHeight="1">
      <c r="A67" s="532">
        <v>882113</v>
      </c>
      <c r="B67" s="537" t="s">
        <v>725</v>
      </c>
      <c r="C67" s="534" t="s">
        <v>522</v>
      </c>
      <c r="D67" s="535">
        <v>15120</v>
      </c>
      <c r="E67" s="535">
        <f aca="true" t="shared" si="2" ref="E67:E99">SUM(F67:N67)</f>
        <v>16800</v>
      </c>
      <c r="F67" s="535"/>
      <c r="G67" s="535"/>
      <c r="H67" s="535"/>
      <c r="I67" s="535"/>
      <c r="J67" s="535">
        <v>16800</v>
      </c>
      <c r="K67" s="535"/>
      <c r="L67" s="535"/>
      <c r="M67" s="535"/>
      <c r="N67" s="536"/>
    </row>
    <row r="68" spans="1:14" s="526" customFormat="1" ht="12" customHeight="1">
      <c r="A68" s="532">
        <v>882114</v>
      </c>
      <c r="B68" s="537" t="s">
        <v>726</v>
      </c>
      <c r="C68" s="534" t="s">
        <v>522</v>
      </c>
      <c r="D68" s="535"/>
      <c r="E68" s="535">
        <f t="shared" si="2"/>
        <v>4000</v>
      </c>
      <c r="F68" s="541"/>
      <c r="G68" s="541"/>
      <c r="H68" s="541"/>
      <c r="I68" s="541"/>
      <c r="J68" s="541">
        <v>4000</v>
      </c>
      <c r="K68" s="541"/>
      <c r="L68" s="541"/>
      <c r="M68" s="541"/>
      <c r="N68" s="542"/>
    </row>
    <row r="69" spans="1:14" s="526" customFormat="1" ht="12" customHeight="1">
      <c r="A69" s="545">
        <v>882115</v>
      </c>
      <c r="B69" s="528" t="s">
        <v>727</v>
      </c>
      <c r="C69" s="529" t="s">
        <v>522</v>
      </c>
      <c r="D69" s="530">
        <v>26970</v>
      </c>
      <c r="E69" s="535">
        <f t="shared" si="2"/>
        <v>35960</v>
      </c>
      <c r="F69" s="546"/>
      <c r="G69" s="546">
        <v>6960</v>
      </c>
      <c r="H69" s="546"/>
      <c r="I69" s="546"/>
      <c r="J69" s="546">
        <v>29000</v>
      </c>
      <c r="K69" s="546"/>
      <c r="L69" s="546"/>
      <c r="M69" s="546"/>
      <c r="N69" s="547"/>
    </row>
    <row r="70" spans="1:14" s="526" customFormat="1" ht="12" customHeight="1">
      <c r="A70" s="532">
        <v>882116</v>
      </c>
      <c r="B70" s="537" t="s">
        <v>728</v>
      </c>
      <c r="C70" s="534" t="s">
        <v>522</v>
      </c>
      <c r="D70" s="535"/>
      <c r="E70" s="535">
        <f t="shared" si="2"/>
        <v>5080</v>
      </c>
      <c r="F70" s="541"/>
      <c r="G70" s="541">
        <v>1080</v>
      </c>
      <c r="H70" s="541"/>
      <c r="I70" s="541"/>
      <c r="J70" s="541">
        <v>4000</v>
      </c>
      <c r="K70" s="541"/>
      <c r="L70" s="541"/>
      <c r="M70" s="541"/>
      <c r="N70" s="542"/>
    </row>
    <row r="71" spans="1:14" s="526" customFormat="1" ht="12" customHeight="1">
      <c r="A71" s="532">
        <v>882117</v>
      </c>
      <c r="B71" s="537" t="s">
        <v>729</v>
      </c>
      <c r="C71" s="534" t="s">
        <v>522</v>
      </c>
      <c r="D71" s="535">
        <v>7500</v>
      </c>
      <c r="E71" s="535">
        <f t="shared" si="2"/>
        <v>7500</v>
      </c>
      <c r="F71" s="541"/>
      <c r="G71" s="541"/>
      <c r="H71" s="541"/>
      <c r="I71" s="541"/>
      <c r="J71" s="541">
        <v>7500</v>
      </c>
      <c r="K71" s="541"/>
      <c r="L71" s="541"/>
      <c r="M71" s="541"/>
      <c r="N71" s="542"/>
    </row>
    <row r="72" spans="1:14" s="526" customFormat="1" ht="12" customHeight="1">
      <c r="A72" s="532">
        <v>882119</v>
      </c>
      <c r="B72" s="537" t="s">
        <v>757</v>
      </c>
      <c r="C72" s="534" t="s">
        <v>522</v>
      </c>
      <c r="D72" s="535">
        <v>300</v>
      </c>
      <c r="E72" s="535">
        <f t="shared" si="2"/>
        <v>300</v>
      </c>
      <c r="F72" s="541"/>
      <c r="G72" s="541"/>
      <c r="H72" s="541"/>
      <c r="I72" s="541"/>
      <c r="J72" s="541">
        <v>300</v>
      </c>
      <c r="K72" s="541"/>
      <c r="L72" s="541"/>
      <c r="M72" s="541"/>
      <c r="N72" s="542"/>
    </row>
    <row r="73" spans="1:14" s="526" customFormat="1" ht="12" customHeight="1">
      <c r="A73" s="532">
        <v>882122</v>
      </c>
      <c r="B73" s="537" t="s">
        <v>640</v>
      </c>
      <c r="C73" s="534" t="s">
        <v>522</v>
      </c>
      <c r="D73" s="535"/>
      <c r="E73" s="535">
        <f t="shared" si="2"/>
        <v>10515</v>
      </c>
      <c r="F73" s="541"/>
      <c r="G73" s="541"/>
      <c r="H73" s="541"/>
      <c r="I73" s="541"/>
      <c r="J73" s="541">
        <v>10515</v>
      </c>
      <c r="K73" s="541"/>
      <c r="L73" s="541"/>
      <c r="M73" s="541"/>
      <c r="N73" s="542"/>
    </row>
    <row r="74" spans="1:14" s="526" customFormat="1" ht="12" customHeight="1">
      <c r="A74" s="532">
        <v>882123</v>
      </c>
      <c r="B74" s="537" t="s">
        <v>641</v>
      </c>
      <c r="C74" s="534" t="s">
        <v>522</v>
      </c>
      <c r="D74" s="535"/>
      <c r="E74" s="535">
        <f t="shared" si="2"/>
        <v>2100</v>
      </c>
      <c r="F74" s="541"/>
      <c r="G74" s="541"/>
      <c r="H74" s="541"/>
      <c r="I74" s="541"/>
      <c r="J74" s="541">
        <v>2100</v>
      </c>
      <c r="K74" s="541"/>
      <c r="L74" s="541"/>
      <c r="M74" s="541"/>
      <c r="N74" s="542"/>
    </row>
    <row r="75" spans="1:14" s="526" customFormat="1" ht="12" customHeight="1">
      <c r="A75" s="532">
        <v>882124</v>
      </c>
      <c r="B75" s="537" t="s">
        <v>730</v>
      </c>
      <c r="C75" s="534" t="s">
        <v>522</v>
      </c>
      <c r="D75" s="535"/>
      <c r="E75" s="535">
        <f t="shared" si="2"/>
        <v>2000</v>
      </c>
      <c r="F75" s="541"/>
      <c r="G75" s="541"/>
      <c r="H75" s="541"/>
      <c r="I75" s="541"/>
      <c r="J75" s="541">
        <v>2000</v>
      </c>
      <c r="K75" s="541"/>
      <c r="L75" s="541"/>
      <c r="M75" s="541"/>
      <c r="N75" s="542"/>
    </row>
    <row r="76" spans="1:14" s="526" customFormat="1" ht="12" customHeight="1">
      <c r="A76" s="532">
        <v>882125</v>
      </c>
      <c r="B76" s="537" t="s">
        <v>630</v>
      </c>
      <c r="C76" s="534" t="s">
        <v>522</v>
      </c>
      <c r="D76" s="535">
        <v>1500</v>
      </c>
      <c r="E76" s="535">
        <f t="shared" si="2"/>
        <v>1500</v>
      </c>
      <c r="F76" s="541"/>
      <c r="G76" s="541"/>
      <c r="H76" s="541"/>
      <c r="I76" s="541"/>
      <c r="J76" s="541">
        <v>1500</v>
      </c>
      <c r="K76" s="541"/>
      <c r="L76" s="541"/>
      <c r="M76" s="541"/>
      <c r="N76" s="542"/>
    </row>
    <row r="77" spans="1:14" s="526" customFormat="1" ht="12" customHeight="1">
      <c r="A77" s="532">
        <v>882129</v>
      </c>
      <c r="B77" s="537" t="s">
        <v>731</v>
      </c>
      <c r="C77" s="534" t="s">
        <v>522</v>
      </c>
      <c r="D77" s="535"/>
      <c r="E77" s="535">
        <f t="shared" si="2"/>
        <v>5296</v>
      </c>
      <c r="F77" s="541">
        <v>3696</v>
      </c>
      <c r="G77" s="541">
        <v>1020</v>
      </c>
      <c r="H77" s="541">
        <v>580</v>
      </c>
      <c r="I77" s="541"/>
      <c r="J77" s="541"/>
      <c r="K77" s="541"/>
      <c r="L77" s="541"/>
      <c r="M77" s="543"/>
      <c r="N77" s="542"/>
    </row>
    <row r="78" spans="1:14" s="526" customFormat="1" ht="12" customHeight="1">
      <c r="A78" s="532">
        <v>882129</v>
      </c>
      <c r="B78" s="537" t="s">
        <v>732</v>
      </c>
      <c r="C78" s="534" t="s">
        <v>522</v>
      </c>
      <c r="D78" s="535"/>
      <c r="E78" s="535">
        <f t="shared" si="2"/>
        <v>200</v>
      </c>
      <c r="F78" s="541"/>
      <c r="G78" s="541"/>
      <c r="H78" s="541"/>
      <c r="I78" s="541"/>
      <c r="J78" s="541">
        <v>200</v>
      </c>
      <c r="K78" s="541"/>
      <c r="L78" s="541"/>
      <c r="M78" s="541"/>
      <c r="N78" s="542"/>
    </row>
    <row r="79" spans="1:14" s="526" customFormat="1" ht="12" customHeight="1">
      <c r="A79" s="532">
        <v>882201</v>
      </c>
      <c r="B79" s="537" t="s">
        <v>733</v>
      </c>
      <c r="C79" s="534" t="s">
        <v>522</v>
      </c>
      <c r="D79" s="535">
        <v>4500</v>
      </c>
      <c r="E79" s="535">
        <f t="shared" si="2"/>
        <v>5000</v>
      </c>
      <c r="F79" s="541"/>
      <c r="G79" s="541"/>
      <c r="H79" s="541"/>
      <c r="I79" s="541"/>
      <c r="J79" s="541">
        <v>5000</v>
      </c>
      <c r="K79" s="541"/>
      <c r="L79" s="541"/>
      <c r="M79" s="541"/>
      <c r="N79" s="542"/>
    </row>
    <row r="80" spans="1:14" s="526" customFormat="1" ht="12" customHeight="1">
      <c r="A80" s="532">
        <v>882202</v>
      </c>
      <c r="B80" s="537" t="s">
        <v>499</v>
      </c>
      <c r="C80" s="534" t="s">
        <v>522</v>
      </c>
      <c r="D80" s="535"/>
      <c r="E80" s="535">
        <f t="shared" si="2"/>
        <v>1000</v>
      </c>
      <c r="F80" s="541"/>
      <c r="G80" s="541"/>
      <c r="H80" s="541"/>
      <c r="I80" s="541"/>
      <c r="J80" s="541">
        <v>1000</v>
      </c>
      <c r="K80" s="541"/>
      <c r="L80" s="541"/>
      <c r="M80" s="541"/>
      <c r="N80" s="542"/>
    </row>
    <row r="81" spans="1:14" s="526" customFormat="1" ht="12" customHeight="1">
      <c r="A81" s="532">
        <v>882203</v>
      </c>
      <c r="B81" s="537" t="s">
        <v>498</v>
      </c>
      <c r="C81" s="534" t="s">
        <v>522</v>
      </c>
      <c r="D81" s="535"/>
      <c r="E81" s="535">
        <f t="shared" si="2"/>
        <v>1200</v>
      </c>
      <c r="F81" s="541"/>
      <c r="G81" s="541"/>
      <c r="H81" s="541"/>
      <c r="I81" s="541"/>
      <c r="J81" s="541">
        <v>1200</v>
      </c>
      <c r="K81" s="541"/>
      <c r="L81" s="541"/>
      <c r="M81" s="541"/>
      <c r="N81" s="542"/>
    </row>
    <row r="82" spans="1:14" s="526" customFormat="1" ht="12" customHeight="1">
      <c r="A82" s="532">
        <v>889101</v>
      </c>
      <c r="B82" s="537" t="s">
        <v>571</v>
      </c>
      <c r="C82" s="534" t="s">
        <v>522</v>
      </c>
      <c r="D82" s="535">
        <v>39686</v>
      </c>
      <c r="E82" s="535">
        <f t="shared" si="2"/>
        <v>66352</v>
      </c>
      <c r="F82" s="541"/>
      <c r="G82" s="541"/>
      <c r="H82" s="541"/>
      <c r="I82" s="541">
        <v>7000</v>
      </c>
      <c r="J82" s="541"/>
      <c r="K82" s="541"/>
      <c r="L82" s="541">
        <v>59352</v>
      </c>
      <c r="M82" s="541"/>
      <c r="N82" s="542"/>
    </row>
    <row r="83" spans="1:14" s="526" customFormat="1" ht="12" customHeight="1">
      <c r="A83" s="532">
        <v>889102</v>
      </c>
      <c r="B83" s="537" t="s">
        <v>572</v>
      </c>
      <c r="C83" s="534" t="s">
        <v>522</v>
      </c>
      <c r="D83" s="535"/>
      <c r="E83" s="535">
        <f t="shared" si="2"/>
        <v>0</v>
      </c>
      <c r="F83" s="541"/>
      <c r="G83" s="541"/>
      <c r="H83" s="541"/>
      <c r="I83" s="541"/>
      <c r="J83" s="541"/>
      <c r="K83" s="541"/>
      <c r="L83" s="541"/>
      <c r="M83" s="541"/>
      <c r="N83" s="542"/>
    </row>
    <row r="84" spans="1:14" s="526" customFormat="1" ht="12" customHeight="1">
      <c r="A84" s="532">
        <v>889922</v>
      </c>
      <c r="B84" s="537" t="s">
        <v>803</v>
      </c>
      <c r="C84" s="534" t="s">
        <v>522</v>
      </c>
      <c r="D84" s="535">
        <v>2450</v>
      </c>
      <c r="E84" s="535">
        <f t="shared" si="2"/>
        <v>0</v>
      </c>
      <c r="F84" s="541"/>
      <c r="G84" s="541"/>
      <c r="H84" s="541"/>
      <c r="I84" s="541"/>
      <c r="J84" s="541"/>
      <c r="K84" s="541"/>
      <c r="L84" s="541"/>
      <c r="M84" s="541"/>
      <c r="N84" s="542"/>
    </row>
    <row r="85" spans="1:14" s="526" customFormat="1" ht="12" customHeight="1">
      <c r="A85" s="532">
        <v>889925</v>
      </c>
      <c r="B85" s="537" t="s">
        <v>573</v>
      </c>
      <c r="C85" s="534" t="s">
        <v>522</v>
      </c>
      <c r="D85" s="535">
        <v>17002</v>
      </c>
      <c r="E85" s="535">
        <f t="shared" si="2"/>
        <v>0</v>
      </c>
      <c r="F85" s="541"/>
      <c r="G85" s="541"/>
      <c r="H85" s="541"/>
      <c r="I85" s="541"/>
      <c r="J85" s="541"/>
      <c r="K85" s="541"/>
      <c r="L85" s="541"/>
      <c r="M85" s="541"/>
      <c r="N85" s="542"/>
    </row>
    <row r="86" spans="1:14" s="526" customFormat="1" ht="12" customHeight="1">
      <c r="A86" s="532">
        <v>889926</v>
      </c>
      <c r="B86" s="537" t="s">
        <v>516</v>
      </c>
      <c r="C86" s="534" t="s">
        <v>522</v>
      </c>
      <c r="D86" s="535">
        <v>133177</v>
      </c>
      <c r="E86" s="535">
        <f t="shared" si="2"/>
        <v>152610</v>
      </c>
      <c r="F86" s="541"/>
      <c r="G86" s="541"/>
      <c r="H86" s="541"/>
      <c r="I86" s="541">
        <v>6267</v>
      </c>
      <c r="J86" s="541"/>
      <c r="K86" s="541"/>
      <c r="L86" s="541">
        <v>146343</v>
      </c>
      <c r="M86" s="543"/>
      <c r="N86" s="542"/>
    </row>
    <row r="87" spans="1:14" s="526" customFormat="1" ht="12" customHeight="1">
      <c r="A87" s="532">
        <v>889935</v>
      </c>
      <c r="B87" s="537" t="s">
        <v>642</v>
      </c>
      <c r="C87" s="534" t="s">
        <v>522</v>
      </c>
      <c r="D87" s="535">
        <v>1710</v>
      </c>
      <c r="E87" s="535">
        <f t="shared" si="2"/>
        <v>0</v>
      </c>
      <c r="F87" s="541"/>
      <c r="G87" s="541"/>
      <c r="H87" s="541"/>
      <c r="I87" s="541"/>
      <c r="J87" s="541"/>
      <c r="K87" s="541"/>
      <c r="L87" s="541"/>
      <c r="M87" s="543"/>
      <c r="N87" s="542"/>
    </row>
    <row r="88" spans="1:14" s="526" customFormat="1" ht="12" customHeight="1">
      <c r="A88" s="532">
        <v>889942</v>
      </c>
      <c r="B88" s="537" t="s">
        <v>734</v>
      </c>
      <c r="C88" s="534" t="s">
        <v>522</v>
      </c>
      <c r="D88" s="535">
        <v>2500</v>
      </c>
      <c r="E88" s="535">
        <f t="shared" si="2"/>
        <v>6300</v>
      </c>
      <c r="F88" s="535"/>
      <c r="G88" s="535"/>
      <c r="H88" s="535"/>
      <c r="I88" s="535">
        <v>1000</v>
      </c>
      <c r="J88" s="535"/>
      <c r="K88" s="535"/>
      <c r="L88" s="535"/>
      <c r="M88" s="535">
        <v>5300</v>
      </c>
      <c r="N88" s="536"/>
    </row>
    <row r="89" spans="1:14" s="526" customFormat="1" ht="12" customHeight="1">
      <c r="A89" s="532">
        <v>889943</v>
      </c>
      <c r="B89" s="537" t="s">
        <v>735</v>
      </c>
      <c r="C89" s="534" t="s">
        <v>522</v>
      </c>
      <c r="D89" s="535">
        <v>1500</v>
      </c>
      <c r="E89" s="535">
        <f t="shared" si="2"/>
        <v>1500</v>
      </c>
      <c r="F89" s="535"/>
      <c r="G89" s="535"/>
      <c r="H89" s="535"/>
      <c r="I89" s="535"/>
      <c r="J89" s="535"/>
      <c r="K89" s="535"/>
      <c r="L89" s="535"/>
      <c r="M89" s="535">
        <v>1500</v>
      </c>
      <c r="N89" s="536"/>
    </row>
    <row r="90" spans="1:14" s="526" customFormat="1" ht="12" customHeight="1">
      <c r="A90" s="532">
        <v>890216</v>
      </c>
      <c r="B90" s="537" t="s">
        <v>574</v>
      </c>
      <c r="C90" s="534" t="s">
        <v>522</v>
      </c>
      <c r="D90" s="535"/>
      <c r="E90" s="535">
        <f t="shared" si="2"/>
        <v>7550</v>
      </c>
      <c r="F90" s="541"/>
      <c r="G90" s="541"/>
      <c r="H90" s="541">
        <v>3050</v>
      </c>
      <c r="I90" s="541"/>
      <c r="J90" s="541">
        <v>4500</v>
      </c>
      <c r="K90" s="541"/>
      <c r="L90" s="541"/>
      <c r="M90" s="541"/>
      <c r="N90" s="542"/>
    </row>
    <row r="91" spans="1:14" s="526" customFormat="1" ht="12" customHeight="1">
      <c r="A91" s="532">
        <v>890441</v>
      </c>
      <c r="B91" s="537" t="s">
        <v>736</v>
      </c>
      <c r="C91" s="534" t="s">
        <v>522</v>
      </c>
      <c r="D91" s="535"/>
      <c r="E91" s="535">
        <f t="shared" si="2"/>
        <v>0</v>
      </c>
      <c r="F91" s="541"/>
      <c r="G91" s="541"/>
      <c r="H91" s="541"/>
      <c r="I91" s="541"/>
      <c r="J91" s="541"/>
      <c r="K91" s="541"/>
      <c r="L91" s="541"/>
      <c r="M91" s="541"/>
      <c r="N91" s="542"/>
    </row>
    <row r="92" spans="1:14" s="526" customFormat="1" ht="12" customHeight="1">
      <c r="A92" s="532">
        <v>890442</v>
      </c>
      <c r="B92" s="537" t="s">
        <v>737</v>
      </c>
      <c r="C92" s="534" t="s">
        <v>522</v>
      </c>
      <c r="D92" s="535">
        <v>40302</v>
      </c>
      <c r="E92" s="535">
        <f t="shared" si="2"/>
        <v>49250</v>
      </c>
      <c r="F92" s="541">
        <v>41796</v>
      </c>
      <c r="G92" s="541">
        <v>5978</v>
      </c>
      <c r="H92" s="541">
        <v>1476</v>
      </c>
      <c r="I92" s="541"/>
      <c r="J92" s="541"/>
      <c r="K92" s="541"/>
      <c r="L92" s="541"/>
      <c r="M92" s="543"/>
      <c r="N92" s="542"/>
    </row>
    <row r="93" spans="1:14" s="526" customFormat="1" ht="12" customHeight="1">
      <c r="A93" s="532">
        <v>910501</v>
      </c>
      <c r="B93" s="537" t="s">
        <v>738</v>
      </c>
      <c r="C93" s="534" t="s">
        <v>522</v>
      </c>
      <c r="D93" s="535">
        <v>2000</v>
      </c>
      <c r="E93" s="535">
        <f t="shared" si="2"/>
        <v>146890</v>
      </c>
      <c r="F93" s="541"/>
      <c r="G93" s="541"/>
      <c r="H93" s="541"/>
      <c r="I93" s="541">
        <v>139890</v>
      </c>
      <c r="J93" s="541"/>
      <c r="K93" s="541"/>
      <c r="L93" s="541">
        <v>5000</v>
      </c>
      <c r="M93" s="541">
        <v>2000</v>
      </c>
      <c r="N93" s="542"/>
    </row>
    <row r="94" spans="1:14" s="526" customFormat="1" ht="12" customHeight="1">
      <c r="A94" s="532">
        <v>931202</v>
      </c>
      <c r="B94" s="537" t="s">
        <v>739</v>
      </c>
      <c r="C94" s="534" t="s">
        <v>522</v>
      </c>
      <c r="D94" s="535"/>
      <c r="E94" s="535">
        <f t="shared" si="2"/>
        <v>5300</v>
      </c>
      <c r="F94" s="541"/>
      <c r="G94" s="541"/>
      <c r="H94" s="541">
        <v>4500</v>
      </c>
      <c r="I94" s="541">
        <v>800</v>
      </c>
      <c r="J94" s="541"/>
      <c r="K94" s="541"/>
      <c r="L94" s="541"/>
      <c r="M94" s="543"/>
      <c r="N94" s="542"/>
    </row>
    <row r="95" spans="1:14" s="526" customFormat="1" ht="12" customHeight="1">
      <c r="A95" s="532">
        <v>931903</v>
      </c>
      <c r="B95" s="537" t="s">
        <v>740</v>
      </c>
      <c r="C95" s="534" t="s">
        <v>522</v>
      </c>
      <c r="D95" s="535">
        <v>1000</v>
      </c>
      <c r="E95" s="535">
        <f t="shared" si="2"/>
        <v>19100</v>
      </c>
      <c r="F95" s="541"/>
      <c r="G95" s="541"/>
      <c r="H95" s="541">
        <v>4500</v>
      </c>
      <c r="I95" s="541">
        <v>9800</v>
      </c>
      <c r="J95" s="541"/>
      <c r="K95" s="541"/>
      <c r="L95" s="541"/>
      <c r="M95" s="543"/>
      <c r="N95" s="542">
        <v>4800</v>
      </c>
    </row>
    <row r="96" spans="1:14" s="526" customFormat="1" ht="12" customHeight="1">
      <c r="A96" s="532">
        <v>932911</v>
      </c>
      <c r="B96" s="537" t="s">
        <v>741</v>
      </c>
      <c r="C96" s="534" t="s">
        <v>522</v>
      </c>
      <c r="D96" s="535">
        <v>224863</v>
      </c>
      <c r="E96" s="535">
        <f t="shared" si="2"/>
        <v>13726</v>
      </c>
      <c r="F96" s="535"/>
      <c r="G96" s="535"/>
      <c r="H96" s="535">
        <v>4538</v>
      </c>
      <c r="I96" s="535">
        <v>2938</v>
      </c>
      <c r="J96" s="535"/>
      <c r="K96" s="535">
        <v>6250</v>
      </c>
      <c r="L96" s="535"/>
      <c r="M96" s="535"/>
      <c r="N96" s="536"/>
    </row>
    <row r="97" spans="1:14" s="526" customFormat="1" ht="12" customHeight="1">
      <c r="A97" s="532">
        <v>949900</v>
      </c>
      <c r="B97" s="537" t="s">
        <v>742</v>
      </c>
      <c r="C97" s="534" t="s">
        <v>522</v>
      </c>
      <c r="D97" s="535"/>
      <c r="E97" s="535">
        <f t="shared" si="2"/>
        <v>15000</v>
      </c>
      <c r="F97" s="535"/>
      <c r="G97" s="535"/>
      <c r="H97" s="535"/>
      <c r="I97" s="535">
        <v>15000</v>
      </c>
      <c r="J97" s="535"/>
      <c r="K97" s="535"/>
      <c r="L97" s="535"/>
      <c r="M97" s="535"/>
      <c r="N97" s="536"/>
    </row>
    <row r="98" spans="1:14" s="526" customFormat="1" ht="12" customHeight="1">
      <c r="A98" s="532">
        <v>960302</v>
      </c>
      <c r="B98" s="537" t="s">
        <v>743</v>
      </c>
      <c r="C98" s="534" t="s">
        <v>522</v>
      </c>
      <c r="D98" s="535">
        <v>6000</v>
      </c>
      <c r="E98" s="535">
        <f t="shared" si="2"/>
        <v>13155</v>
      </c>
      <c r="F98" s="535"/>
      <c r="G98" s="535"/>
      <c r="H98" s="535">
        <v>11000</v>
      </c>
      <c r="I98" s="535">
        <v>155</v>
      </c>
      <c r="J98" s="535"/>
      <c r="K98" s="535">
        <v>2000</v>
      </c>
      <c r="L98" s="535"/>
      <c r="M98" s="535"/>
      <c r="N98" s="536"/>
    </row>
    <row r="99" spans="1:14" s="526" customFormat="1" ht="12" customHeight="1">
      <c r="A99" s="532">
        <v>960900</v>
      </c>
      <c r="B99" s="537" t="s">
        <v>744</v>
      </c>
      <c r="C99" s="534" t="s">
        <v>522</v>
      </c>
      <c r="D99" s="535">
        <v>3000</v>
      </c>
      <c r="E99" s="535">
        <f t="shared" si="2"/>
        <v>3000</v>
      </c>
      <c r="F99" s="541">
        <v>1600</v>
      </c>
      <c r="G99" s="541">
        <v>425</v>
      </c>
      <c r="H99" s="541">
        <v>975</v>
      </c>
      <c r="I99" s="541"/>
      <c r="J99" s="541"/>
      <c r="K99" s="541"/>
      <c r="L99" s="541"/>
      <c r="M99" s="543"/>
      <c r="N99" s="542"/>
    </row>
    <row r="100" spans="1:14" s="526" customFormat="1" ht="12" customHeight="1">
      <c r="A100" s="882" t="s">
        <v>745</v>
      </c>
      <c r="B100" s="882"/>
      <c r="C100" s="549" t="s">
        <v>522</v>
      </c>
      <c r="D100" s="538">
        <f aca="true" t="shared" si="3" ref="D100:N100">SUM(D9:D99)</f>
        <v>6693300</v>
      </c>
      <c r="E100" s="538">
        <f t="shared" si="3"/>
        <v>5277870</v>
      </c>
      <c r="F100" s="538">
        <f t="shared" si="3"/>
        <v>449650</v>
      </c>
      <c r="G100" s="538">
        <f t="shared" si="3"/>
        <v>134571</v>
      </c>
      <c r="H100" s="538">
        <f t="shared" si="3"/>
        <v>660181</v>
      </c>
      <c r="I100" s="538">
        <f t="shared" si="3"/>
        <v>630515</v>
      </c>
      <c r="J100" s="538">
        <f t="shared" si="3"/>
        <v>153115</v>
      </c>
      <c r="K100" s="538">
        <f t="shared" si="3"/>
        <v>99646</v>
      </c>
      <c r="L100" s="538">
        <f t="shared" si="3"/>
        <v>2517144</v>
      </c>
      <c r="M100" s="538">
        <f t="shared" si="3"/>
        <v>101777</v>
      </c>
      <c r="N100" s="550">
        <f t="shared" si="3"/>
        <v>531271</v>
      </c>
    </row>
    <row r="101" spans="1:16" s="555" customFormat="1" ht="12" customHeight="1">
      <c r="A101" s="548"/>
      <c r="B101" s="551"/>
      <c r="C101" s="549"/>
      <c r="D101" s="538"/>
      <c r="E101" s="535">
        <f>SUM(F101:N101)</f>
        <v>0</v>
      </c>
      <c r="F101" s="552"/>
      <c r="G101" s="552"/>
      <c r="H101" s="552"/>
      <c r="I101" s="552"/>
      <c r="J101" s="552"/>
      <c r="K101" s="552"/>
      <c r="L101" s="552"/>
      <c r="M101" s="552"/>
      <c r="N101" s="553"/>
      <c r="O101" s="554"/>
      <c r="P101" s="554"/>
    </row>
    <row r="102" spans="1:14" s="555" customFormat="1" ht="12" customHeight="1">
      <c r="A102" s="882" t="s">
        <v>746</v>
      </c>
      <c r="B102" s="882"/>
      <c r="C102" s="549" t="s">
        <v>522</v>
      </c>
      <c r="D102" s="538">
        <v>3000</v>
      </c>
      <c r="E102" s="600">
        <f>SUM(F102:N102)</f>
        <v>21489</v>
      </c>
      <c r="F102" s="601">
        <v>12532</v>
      </c>
      <c r="G102" s="601">
        <v>2976</v>
      </c>
      <c r="H102" s="601">
        <v>5281</v>
      </c>
      <c r="I102" s="601">
        <v>700</v>
      </c>
      <c r="J102" s="552"/>
      <c r="K102" s="552"/>
      <c r="L102" s="552"/>
      <c r="M102" s="552"/>
      <c r="N102" s="553"/>
    </row>
    <row r="103" spans="1:14" s="555" customFormat="1" ht="12" customHeight="1">
      <c r="A103" s="548"/>
      <c r="B103" s="551"/>
      <c r="C103" s="549"/>
      <c r="D103" s="538"/>
      <c r="E103" s="538"/>
      <c r="F103" s="552"/>
      <c r="G103" s="552"/>
      <c r="H103" s="552"/>
      <c r="I103" s="541"/>
      <c r="J103" s="541"/>
      <c r="K103" s="541"/>
      <c r="L103" s="541"/>
      <c r="M103" s="552"/>
      <c r="N103" s="553"/>
    </row>
    <row r="104" spans="1:14" s="555" customFormat="1" ht="12" customHeight="1">
      <c r="A104" s="883" t="s">
        <v>747</v>
      </c>
      <c r="B104" s="883"/>
      <c r="C104" s="534"/>
      <c r="D104" s="538"/>
      <c r="E104" s="535"/>
      <c r="F104" s="541"/>
      <c r="G104" s="541"/>
      <c r="H104" s="541"/>
      <c r="I104" s="541"/>
      <c r="J104" s="541"/>
      <c r="K104" s="541"/>
      <c r="L104" s="541"/>
      <c r="M104" s="541"/>
      <c r="N104" s="542"/>
    </row>
    <row r="105" spans="1:14" s="555" customFormat="1" ht="12" customHeight="1">
      <c r="A105" s="556" t="s">
        <v>748</v>
      </c>
      <c r="B105" s="537" t="s">
        <v>749</v>
      </c>
      <c r="C105" s="534" t="s">
        <v>522</v>
      </c>
      <c r="D105" s="535">
        <v>816</v>
      </c>
      <c r="E105" s="535">
        <v>816</v>
      </c>
      <c r="F105" s="541"/>
      <c r="G105" s="541"/>
      <c r="H105" s="541">
        <v>816</v>
      </c>
      <c r="I105" s="541"/>
      <c r="J105" s="541"/>
      <c r="K105" s="541"/>
      <c r="L105" s="541"/>
      <c r="M105" s="541"/>
      <c r="N105" s="542"/>
    </row>
    <row r="106" spans="1:14" s="526" customFormat="1" ht="12" customHeight="1">
      <c r="A106" s="556" t="s">
        <v>748</v>
      </c>
      <c r="B106" s="537" t="s">
        <v>750</v>
      </c>
      <c r="C106" s="534" t="s">
        <v>522</v>
      </c>
      <c r="D106" s="535">
        <v>816</v>
      </c>
      <c r="E106" s="535">
        <v>816</v>
      </c>
      <c r="F106" s="541"/>
      <c r="G106" s="541"/>
      <c r="H106" s="541">
        <v>816</v>
      </c>
      <c r="I106" s="541"/>
      <c r="J106" s="541"/>
      <c r="K106" s="541"/>
      <c r="L106" s="541"/>
      <c r="M106" s="541"/>
      <c r="N106" s="542"/>
    </row>
    <row r="107" spans="1:14" s="526" customFormat="1" ht="12" customHeight="1">
      <c r="A107" s="556" t="s">
        <v>748</v>
      </c>
      <c r="B107" s="537" t="s">
        <v>751</v>
      </c>
      <c r="C107" s="534" t="s">
        <v>522</v>
      </c>
      <c r="D107" s="535">
        <v>816</v>
      </c>
      <c r="E107" s="535">
        <v>816</v>
      </c>
      <c r="F107" s="541"/>
      <c r="G107" s="541"/>
      <c r="H107" s="541">
        <v>816</v>
      </c>
      <c r="I107" s="541"/>
      <c r="J107" s="541"/>
      <c r="K107" s="541"/>
      <c r="L107" s="541"/>
      <c r="M107" s="541"/>
      <c r="N107" s="542"/>
    </row>
    <row r="108" spans="1:14" s="526" customFormat="1" ht="12" customHeight="1">
      <c r="A108" s="882" t="s">
        <v>508</v>
      </c>
      <c r="B108" s="882"/>
      <c r="C108" s="549" t="s">
        <v>522</v>
      </c>
      <c r="D108" s="538">
        <f aca="true" t="shared" si="4" ref="D108:N108">SUM(D105+D106+D107)</f>
        <v>2448</v>
      </c>
      <c r="E108" s="538">
        <f t="shared" si="4"/>
        <v>2448</v>
      </c>
      <c r="F108" s="552">
        <f t="shared" si="4"/>
        <v>0</v>
      </c>
      <c r="G108" s="552">
        <f t="shared" si="4"/>
        <v>0</v>
      </c>
      <c r="H108" s="552">
        <f t="shared" si="4"/>
        <v>2448</v>
      </c>
      <c r="I108" s="552">
        <f t="shared" si="4"/>
        <v>0</v>
      </c>
      <c r="J108" s="552">
        <f t="shared" si="4"/>
        <v>0</v>
      </c>
      <c r="K108" s="552">
        <f t="shared" si="4"/>
        <v>0</v>
      </c>
      <c r="L108" s="552">
        <f t="shared" si="4"/>
        <v>0</v>
      </c>
      <c r="M108" s="552">
        <f t="shared" si="4"/>
        <v>0</v>
      </c>
      <c r="N108" s="553">
        <f t="shared" si="4"/>
        <v>0</v>
      </c>
    </row>
    <row r="109" spans="1:14" ht="12" customHeight="1">
      <c r="A109" s="548"/>
      <c r="B109" s="557"/>
      <c r="C109" s="549"/>
      <c r="D109" s="538"/>
      <c r="E109" s="538"/>
      <c r="F109" s="552"/>
      <c r="G109" s="552"/>
      <c r="H109" s="552"/>
      <c r="I109" s="552"/>
      <c r="J109" s="552"/>
      <c r="K109" s="552"/>
      <c r="L109" s="552"/>
      <c r="M109" s="552"/>
      <c r="N109" s="553"/>
    </row>
    <row r="110" spans="1:14" ht="12" customHeight="1">
      <c r="A110" s="881" t="s">
        <v>528</v>
      </c>
      <c r="B110" s="881"/>
      <c r="C110" s="558" t="s">
        <v>521</v>
      </c>
      <c r="D110" s="559">
        <f aca="true" t="shared" si="5" ref="D110:N110">SUM(D100+D102+D108)</f>
        <v>6698748</v>
      </c>
      <c r="E110" s="559">
        <f t="shared" si="5"/>
        <v>5301807</v>
      </c>
      <c r="F110" s="559">
        <f t="shared" si="5"/>
        <v>462182</v>
      </c>
      <c r="G110" s="559">
        <f t="shared" si="5"/>
        <v>137547</v>
      </c>
      <c r="H110" s="559">
        <f t="shared" si="5"/>
        <v>667910</v>
      </c>
      <c r="I110" s="559">
        <f t="shared" si="5"/>
        <v>631215</v>
      </c>
      <c r="J110" s="559">
        <f t="shared" si="5"/>
        <v>153115</v>
      </c>
      <c r="K110" s="559">
        <f t="shared" si="5"/>
        <v>99646</v>
      </c>
      <c r="L110" s="559">
        <f t="shared" si="5"/>
        <v>2517144</v>
      </c>
      <c r="M110" s="559">
        <f t="shared" si="5"/>
        <v>101777</v>
      </c>
      <c r="N110" s="560">
        <f t="shared" si="5"/>
        <v>531271</v>
      </c>
    </row>
    <row r="111" spans="6:14" ht="12.75">
      <c r="F111" s="524"/>
      <c r="G111" s="524"/>
      <c r="H111" s="524"/>
      <c r="I111" s="524"/>
      <c r="J111" s="524"/>
      <c r="K111" s="524"/>
      <c r="L111" s="524"/>
      <c r="M111" s="561"/>
      <c r="N111" s="524"/>
    </row>
    <row r="112" spans="6:14" ht="12.75">
      <c r="F112" s="524"/>
      <c r="G112" s="524"/>
      <c r="H112" s="524"/>
      <c r="I112" s="524"/>
      <c r="J112" s="524"/>
      <c r="K112" s="524"/>
      <c r="L112" s="524"/>
      <c r="M112" s="561"/>
      <c r="N112" s="524"/>
    </row>
    <row r="113" spans="6:14" ht="12.75">
      <c r="F113" s="524"/>
      <c r="G113" s="524"/>
      <c r="H113" s="524"/>
      <c r="I113" s="524"/>
      <c r="J113" s="524"/>
      <c r="K113" s="524"/>
      <c r="L113" s="524"/>
      <c r="M113" s="561"/>
      <c r="N113" s="524"/>
    </row>
    <row r="114" spans="6:14" ht="12.75">
      <c r="F114" s="524"/>
      <c r="G114" s="524"/>
      <c r="H114" s="524"/>
      <c r="I114" s="524"/>
      <c r="J114" s="524"/>
      <c r="K114" s="524"/>
      <c r="L114" s="524"/>
      <c r="M114" s="561"/>
      <c r="N114" s="524"/>
    </row>
    <row r="115" spans="6:14" ht="12.75">
      <c r="F115" s="524"/>
      <c r="G115" s="524"/>
      <c r="H115" s="524"/>
      <c r="I115" s="524"/>
      <c r="J115" s="524"/>
      <c r="K115" s="524"/>
      <c r="L115" s="524"/>
      <c r="M115" s="561"/>
      <c r="N115" s="524"/>
    </row>
    <row r="116" spans="6:14" ht="12.75">
      <c r="F116" s="524"/>
      <c r="G116" s="524"/>
      <c r="H116" s="524"/>
      <c r="I116" s="524"/>
      <c r="J116" s="524"/>
      <c r="K116" s="524"/>
      <c r="L116" s="524"/>
      <c r="M116" s="561"/>
      <c r="N116" s="524"/>
    </row>
    <row r="117" spans="6:14" ht="12.75">
      <c r="F117" s="524"/>
      <c r="G117" s="524"/>
      <c r="H117" s="524"/>
      <c r="I117" s="524"/>
      <c r="J117" s="524"/>
      <c r="K117" s="524"/>
      <c r="L117" s="524"/>
      <c r="M117" s="561"/>
      <c r="N117" s="524"/>
    </row>
    <row r="118" spans="6:14" ht="12.75">
      <c r="F118" s="524"/>
      <c r="G118" s="524"/>
      <c r="H118" s="524"/>
      <c r="I118" s="524"/>
      <c r="J118" s="524"/>
      <c r="K118" s="524"/>
      <c r="L118" s="524"/>
      <c r="M118" s="561"/>
      <c r="N118" s="524"/>
    </row>
    <row r="119" spans="6:14" ht="12.75">
      <c r="F119" s="524"/>
      <c r="G119" s="524"/>
      <c r="H119" s="524"/>
      <c r="I119" s="524"/>
      <c r="J119" s="524"/>
      <c r="K119" s="524"/>
      <c r="L119" s="524"/>
      <c r="M119" s="561"/>
      <c r="N119" s="524"/>
    </row>
    <row r="120" spans="6:14" ht="12.75">
      <c r="F120" s="524"/>
      <c r="G120" s="524"/>
      <c r="H120" s="524"/>
      <c r="I120" s="524"/>
      <c r="J120" s="524"/>
      <c r="K120" s="524"/>
      <c r="L120" s="524"/>
      <c r="M120" s="561"/>
      <c r="N120" s="524"/>
    </row>
    <row r="121" spans="6:14" ht="12.75">
      <c r="F121" s="524"/>
      <c r="G121" s="524"/>
      <c r="H121" s="524"/>
      <c r="I121" s="524"/>
      <c r="J121" s="524"/>
      <c r="K121" s="524"/>
      <c r="L121" s="524"/>
      <c r="M121" s="561"/>
      <c r="N121" s="524"/>
    </row>
    <row r="122" spans="6:14" ht="12.75">
      <c r="F122" s="524"/>
      <c r="G122" s="524"/>
      <c r="H122" s="524"/>
      <c r="I122" s="524"/>
      <c r="J122" s="524"/>
      <c r="K122" s="524"/>
      <c r="L122" s="524"/>
      <c r="M122" s="561"/>
      <c r="N122" s="524"/>
    </row>
    <row r="123" spans="6:14" ht="12.75">
      <c r="F123" s="524"/>
      <c r="G123" s="524"/>
      <c r="H123" s="524"/>
      <c r="I123" s="524"/>
      <c r="J123" s="524"/>
      <c r="K123" s="524"/>
      <c r="L123" s="524"/>
      <c r="M123" s="561"/>
      <c r="N123" s="524"/>
    </row>
    <row r="124" spans="6:14" ht="12.75">
      <c r="F124" s="524"/>
      <c r="G124" s="524"/>
      <c r="H124" s="524"/>
      <c r="I124" s="524"/>
      <c r="J124" s="524"/>
      <c r="K124" s="524"/>
      <c r="L124" s="524"/>
      <c r="M124" s="561"/>
      <c r="N124" s="524"/>
    </row>
    <row r="125" spans="6:14" ht="12.75">
      <c r="F125" s="524"/>
      <c r="G125" s="524"/>
      <c r="H125" s="524"/>
      <c r="I125" s="524"/>
      <c r="J125" s="524"/>
      <c r="K125" s="524"/>
      <c r="L125" s="524"/>
      <c r="M125" s="561"/>
      <c r="N125" s="524"/>
    </row>
    <row r="126" spans="6:14" ht="12.75">
      <c r="F126" s="524"/>
      <c r="G126" s="524"/>
      <c r="H126" s="524"/>
      <c r="I126" s="524"/>
      <c r="J126" s="524"/>
      <c r="K126" s="524"/>
      <c r="L126" s="524"/>
      <c r="M126" s="561"/>
      <c r="N126" s="524"/>
    </row>
    <row r="127" spans="6:14" ht="12.75">
      <c r="F127" s="524"/>
      <c r="G127" s="524"/>
      <c r="H127" s="524"/>
      <c r="I127" s="524"/>
      <c r="J127" s="524"/>
      <c r="K127" s="524"/>
      <c r="L127" s="524"/>
      <c r="M127" s="561"/>
      <c r="N127" s="524"/>
    </row>
    <row r="128" spans="6:14" ht="12.75">
      <c r="F128" s="524"/>
      <c r="G128" s="524"/>
      <c r="H128" s="524"/>
      <c r="I128" s="524"/>
      <c r="J128" s="524"/>
      <c r="K128" s="524"/>
      <c r="L128" s="524"/>
      <c r="M128" s="561"/>
      <c r="N128" s="524"/>
    </row>
    <row r="129" spans="6:14" ht="12.75">
      <c r="F129" s="524"/>
      <c r="G129" s="524"/>
      <c r="H129" s="524"/>
      <c r="I129" s="524"/>
      <c r="J129" s="524"/>
      <c r="K129" s="524"/>
      <c r="L129" s="524"/>
      <c r="M129" s="561"/>
      <c r="N129" s="524"/>
    </row>
    <row r="130" spans="6:14" ht="12.75">
      <c r="F130" s="524"/>
      <c r="G130" s="524"/>
      <c r="H130" s="524"/>
      <c r="I130" s="524"/>
      <c r="J130" s="524"/>
      <c r="K130" s="524"/>
      <c r="L130" s="524"/>
      <c r="M130" s="561"/>
      <c r="N130" s="524"/>
    </row>
    <row r="131" spans="6:14" ht="12.75">
      <c r="F131" s="524"/>
      <c r="G131" s="524"/>
      <c r="H131" s="524"/>
      <c r="I131" s="524"/>
      <c r="J131" s="524"/>
      <c r="K131" s="524"/>
      <c r="L131" s="524"/>
      <c r="M131" s="561"/>
      <c r="N131" s="524"/>
    </row>
    <row r="132" spans="6:14" ht="12.75">
      <c r="F132" s="524"/>
      <c r="G132" s="524"/>
      <c r="H132" s="524"/>
      <c r="I132" s="524"/>
      <c r="J132" s="524"/>
      <c r="K132" s="524"/>
      <c r="L132" s="524"/>
      <c r="M132" s="561"/>
      <c r="N132" s="524"/>
    </row>
    <row r="133" spans="6:14" ht="12.75">
      <c r="F133" s="524"/>
      <c r="G133" s="524"/>
      <c r="H133" s="524"/>
      <c r="I133" s="524"/>
      <c r="J133" s="524"/>
      <c r="K133" s="524"/>
      <c r="L133" s="524"/>
      <c r="M133" s="561"/>
      <c r="N133" s="524"/>
    </row>
    <row r="134" spans="6:14" ht="12.75">
      <c r="F134" s="524"/>
      <c r="G134" s="524"/>
      <c r="H134" s="524"/>
      <c r="I134" s="524"/>
      <c r="J134" s="524"/>
      <c r="K134" s="524"/>
      <c r="L134" s="524"/>
      <c r="M134" s="561"/>
      <c r="N134" s="524"/>
    </row>
    <row r="135" spans="6:14" ht="12.75">
      <c r="F135" s="524"/>
      <c r="G135" s="524"/>
      <c r="H135" s="524"/>
      <c r="I135" s="524"/>
      <c r="J135" s="524"/>
      <c r="K135" s="524"/>
      <c r="L135" s="524"/>
      <c r="M135" s="561"/>
      <c r="N135" s="524"/>
    </row>
    <row r="136" spans="6:14" ht="12.75">
      <c r="F136" s="524"/>
      <c r="G136" s="524"/>
      <c r="H136" s="524"/>
      <c r="I136" s="524"/>
      <c r="J136" s="524"/>
      <c r="K136" s="524"/>
      <c r="L136" s="524"/>
      <c r="M136" s="561"/>
      <c r="N136" s="524"/>
    </row>
    <row r="137" spans="6:14" ht="12.75">
      <c r="F137" s="524"/>
      <c r="G137" s="524"/>
      <c r="H137" s="524"/>
      <c r="I137" s="524"/>
      <c r="J137" s="524"/>
      <c r="K137" s="524"/>
      <c r="L137" s="524"/>
      <c r="M137" s="561"/>
      <c r="N137" s="524"/>
    </row>
    <row r="138" spans="6:14" ht="12.75">
      <c r="F138" s="524"/>
      <c r="G138" s="524"/>
      <c r="H138" s="524"/>
      <c r="I138" s="524"/>
      <c r="J138" s="524"/>
      <c r="K138" s="524"/>
      <c r="L138" s="524"/>
      <c r="M138" s="561"/>
      <c r="N138" s="524"/>
    </row>
    <row r="139" spans="6:14" ht="12.75">
      <c r="F139" s="524"/>
      <c r="G139" s="524"/>
      <c r="H139" s="524"/>
      <c r="I139" s="524"/>
      <c r="J139" s="524"/>
      <c r="K139" s="524"/>
      <c r="L139" s="524"/>
      <c r="M139" s="561"/>
      <c r="N139" s="524"/>
    </row>
    <row r="140" spans="6:14" ht="12.75">
      <c r="F140" s="524"/>
      <c r="G140" s="524"/>
      <c r="H140" s="524"/>
      <c r="I140" s="524"/>
      <c r="J140" s="524"/>
      <c r="K140" s="524"/>
      <c r="L140" s="524"/>
      <c r="M140" s="561"/>
      <c r="N140" s="524"/>
    </row>
    <row r="141" spans="6:14" ht="12.75">
      <c r="F141" s="524"/>
      <c r="G141" s="524"/>
      <c r="H141" s="524"/>
      <c r="I141" s="524"/>
      <c r="J141" s="524"/>
      <c r="K141" s="524"/>
      <c r="L141" s="524"/>
      <c r="M141" s="561"/>
      <c r="N141" s="524"/>
    </row>
    <row r="142" spans="6:14" ht="12.75">
      <c r="F142" s="524"/>
      <c r="G142" s="524"/>
      <c r="H142" s="524"/>
      <c r="I142" s="524"/>
      <c r="J142" s="524"/>
      <c r="K142" s="524"/>
      <c r="L142" s="524"/>
      <c r="M142" s="561"/>
      <c r="N142" s="524"/>
    </row>
    <row r="143" spans="6:14" ht="12.75">
      <c r="F143" s="524"/>
      <c r="G143" s="524"/>
      <c r="H143" s="524"/>
      <c r="I143" s="524"/>
      <c r="J143" s="524"/>
      <c r="K143" s="524"/>
      <c r="L143" s="524"/>
      <c r="M143" s="561"/>
      <c r="N143" s="524"/>
    </row>
    <row r="144" spans="6:14" ht="12.75">
      <c r="F144" s="524"/>
      <c r="G144" s="524"/>
      <c r="H144" s="524"/>
      <c r="I144" s="524"/>
      <c r="J144" s="524"/>
      <c r="K144" s="524"/>
      <c r="L144" s="524"/>
      <c r="M144" s="561"/>
      <c r="N144" s="524"/>
    </row>
    <row r="145" spans="6:14" ht="12.75">
      <c r="F145" s="524"/>
      <c r="G145" s="524"/>
      <c r="H145" s="524"/>
      <c r="I145" s="524"/>
      <c r="J145" s="524"/>
      <c r="K145" s="524"/>
      <c r="L145" s="524"/>
      <c r="M145" s="561"/>
      <c r="N145" s="524"/>
    </row>
    <row r="146" spans="6:14" ht="12.75">
      <c r="F146" s="524"/>
      <c r="G146" s="524"/>
      <c r="H146" s="524"/>
      <c r="I146" s="524"/>
      <c r="J146" s="524"/>
      <c r="K146" s="524"/>
      <c r="L146" s="524"/>
      <c r="M146" s="561"/>
      <c r="N146" s="524"/>
    </row>
    <row r="147" spans="6:14" ht="12.75">
      <c r="F147" s="524"/>
      <c r="G147" s="524"/>
      <c r="H147" s="524"/>
      <c r="I147" s="524"/>
      <c r="J147" s="524"/>
      <c r="K147" s="524"/>
      <c r="L147" s="524"/>
      <c r="M147" s="561"/>
      <c r="N147" s="524"/>
    </row>
    <row r="148" spans="6:14" ht="12.75">
      <c r="F148" s="524"/>
      <c r="G148" s="524"/>
      <c r="H148" s="524"/>
      <c r="I148" s="524"/>
      <c r="J148" s="524"/>
      <c r="K148" s="524"/>
      <c r="L148" s="524"/>
      <c r="M148" s="561"/>
      <c r="N148" s="524"/>
    </row>
    <row r="149" spans="6:14" ht="12.75">
      <c r="F149" s="524"/>
      <c r="G149" s="524"/>
      <c r="H149" s="524"/>
      <c r="I149" s="524"/>
      <c r="J149" s="524"/>
      <c r="K149" s="524"/>
      <c r="L149" s="524"/>
      <c r="M149" s="561"/>
      <c r="N149" s="524"/>
    </row>
    <row r="150" spans="6:14" ht="12.75">
      <c r="F150" s="524"/>
      <c r="G150" s="524"/>
      <c r="H150" s="524"/>
      <c r="I150" s="524"/>
      <c r="J150" s="524"/>
      <c r="K150" s="524"/>
      <c r="L150" s="524"/>
      <c r="M150" s="561"/>
      <c r="N150" s="524"/>
    </row>
    <row r="151" spans="6:14" ht="12.75">
      <c r="F151" s="524"/>
      <c r="G151" s="524"/>
      <c r="H151" s="524"/>
      <c r="I151" s="524"/>
      <c r="J151" s="524"/>
      <c r="K151" s="524"/>
      <c r="L151" s="524"/>
      <c r="M151" s="561"/>
      <c r="N151" s="524"/>
    </row>
    <row r="152" spans="6:14" ht="12.75">
      <c r="F152" s="524"/>
      <c r="G152" s="524"/>
      <c r="H152" s="524"/>
      <c r="I152" s="524"/>
      <c r="J152" s="524"/>
      <c r="K152" s="524"/>
      <c r="L152" s="524"/>
      <c r="M152" s="561"/>
      <c r="N152" s="524"/>
    </row>
    <row r="153" spans="6:14" ht="12.75">
      <c r="F153" s="524"/>
      <c r="G153" s="524"/>
      <c r="H153" s="524"/>
      <c r="I153" s="524"/>
      <c r="J153" s="524"/>
      <c r="K153" s="524"/>
      <c r="L153" s="524"/>
      <c r="M153" s="561"/>
      <c r="N153" s="524"/>
    </row>
    <row r="154" spans="6:14" ht="12.75">
      <c r="F154" s="524"/>
      <c r="G154" s="524"/>
      <c r="H154" s="524"/>
      <c r="I154" s="524"/>
      <c r="J154" s="524"/>
      <c r="K154" s="524"/>
      <c r="L154" s="524"/>
      <c r="M154" s="561"/>
      <c r="N154" s="524"/>
    </row>
    <row r="155" spans="6:14" ht="12.75">
      <c r="F155" s="524"/>
      <c r="G155" s="524"/>
      <c r="H155" s="524"/>
      <c r="I155" s="524"/>
      <c r="J155" s="524"/>
      <c r="K155" s="524"/>
      <c r="L155" s="524"/>
      <c r="M155" s="561"/>
      <c r="N155" s="524"/>
    </row>
    <row r="156" spans="6:14" ht="12.75">
      <c r="F156" s="524"/>
      <c r="G156" s="524"/>
      <c r="H156" s="524"/>
      <c r="I156" s="524"/>
      <c r="J156" s="524"/>
      <c r="K156" s="524"/>
      <c r="L156" s="524"/>
      <c r="M156" s="561"/>
      <c r="N156" s="524"/>
    </row>
    <row r="157" spans="6:14" ht="12.75">
      <c r="F157" s="524"/>
      <c r="G157" s="524"/>
      <c r="H157" s="524"/>
      <c r="I157" s="524"/>
      <c r="J157" s="524"/>
      <c r="K157" s="524"/>
      <c r="L157" s="524"/>
      <c r="M157" s="561"/>
      <c r="N157" s="524"/>
    </row>
    <row r="158" spans="6:14" ht="12.75">
      <c r="F158" s="524"/>
      <c r="G158" s="524"/>
      <c r="H158" s="524"/>
      <c r="I158" s="524"/>
      <c r="J158" s="524"/>
      <c r="K158" s="524"/>
      <c r="L158" s="524"/>
      <c r="M158" s="561"/>
      <c r="N158" s="524"/>
    </row>
    <row r="159" spans="6:14" ht="12.75">
      <c r="F159" s="524"/>
      <c r="G159" s="524"/>
      <c r="H159" s="524"/>
      <c r="I159" s="524"/>
      <c r="J159" s="524"/>
      <c r="K159" s="524"/>
      <c r="L159" s="524"/>
      <c r="M159" s="561"/>
      <c r="N159" s="524"/>
    </row>
    <row r="160" spans="6:14" ht="12.75">
      <c r="F160" s="524"/>
      <c r="G160" s="524"/>
      <c r="H160" s="524"/>
      <c r="I160" s="524"/>
      <c r="J160" s="524"/>
      <c r="K160" s="524"/>
      <c r="L160" s="524"/>
      <c r="M160" s="561"/>
      <c r="N160" s="524"/>
    </row>
    <row r="161" spans="6:14" ht="12.75">
      <c r="F161" s="524"/>
      <c r="G161" s="524"/>
      <c r="H161" s="524"/>
      <c r="I161" s="524"/>
      <c r="J161" s="524"/>
      <c r="K161" s="524"/>
      <c r="L161" s="524"/>
      <c r="M161" s="561"/>
      <c r="N161" s="524"/>
    </row>
    <row r="162" spans="6:14" ht="12.75">
      <c r="F162" s="524"/>
      <c r="G162" s="524"/>
      <c r="H162" s="524"/>
      <c r="I162" s="524"/>
      <c r="J162" s="524"/>
      <c r="K162" s="524"/>
      <c r="L162" s="524"/>
      <c r="M162" s="561"/>
      <c r="N162" s="524"/>
    </row>
    <row r="163" spans="6:14" ht="12.75">
      <c r="F163" s="524"/>
      <c r="G163" s="524"/>
      <c r="H163" s="524"/>
      <c r="I163" s="524"/>
      <c r="J163" s="524"/>
      <c r="K163" s="524"/>
      <c r="L163" s="524"/>
      <c r="M163" s="561"/>
      <c r="N163" s="524"/>
    </row>
    <row r="164" spans="6:14" ht="12.75">
      <c r="F164" s="524"/>
      <c r="G164" s="524"/>
      <c r="H164" s="524"/>
      <c r="I164" s="524"/>
      <c r="J164" s="524"/>
      <c r="K164" s="524"/>
      <c r="L164" s="524"/>
      <c r="M164" s="561"/>
      <c r="N164" s="524"/>
    </row>
    <row r="165" spans="6:14" ht="12.75">
      <c r="F165" s="524"/>
      <c r="G165" s="524"/>
      <c r="H165" s="524"/>
      <c r="I165" s="524"/>
      <c r="J165" s="524"/>
      <c r="K165" s="524"/>
      <c r="L165" s="524"/>
      <c r="M165" s="561"/>
      <c r="N165" s="524"/>
    </row>
    <row r="166" spans="6:14" ht="12.75">
      <c r="F166" s="524"/>
      <c r="G166" s="524"/>
      <c r="H166" s="524"/>
      <c r="I166" s="524"/>
      <c r="J166" s="524"/>
      <c r="K166" s="524"/>
      <c r="L166" s="524"/>
      <c r="M166" s="561"/>
      <c r="N166" s="524"/>
    </row>
    <row r="167" spans="6:14" ht="12.75">
      <c r="F167" s="524"/>
      <c r="G167" s="524"/>
      <c r="H167" s="524"/>
      <c r="I167" s="524"/>
      <c r="J167" s="524"/>
      <c r="K167" s="524"/>
      <c r="L167" s="524"/>
      <c r="M167" s="561"/>
      <c r="N167" s="524"/>
    </row>
    <row r="168" spans="6:14" ht="12.75">
      <c r="F168" s="524"/>
      <c r="G168" s="524"/>
      <c r="H168" s="524"/>
      <c r="I168" s="524"/>
      <c r="J168" s="524"/>
      <c r="K168" s="524"/>
      <c r="L168" s="524"/>
      <c r="M168" s="561"/>
      <c r="N168" s="524"/>
    </row>
    <row r="169" spans="6:14" ht="12.75">
      <c r="F169" s="524"/>
      <c r="G169" s="524"/>
      <c r="H169" s="524"/>
      <c r="I169" s="524"/>
      <c r="J169" s="524"/>
      <c r="K169" s="524"/>
      <c r="L169" s="524"/>
      <c r="M169" s="561"/>
      <c r="N169" s="524"/>
    </row>
    <row r="170" spans="6:14" ht="12.75">
      <c r="F170" s="524"/>
      <c r="G170" s="524"/>
      <c r="H170" s="524"/>
      <c r="I170" s="524"/>
      <c r="J170" s="524"/>
      <c r="K170" s="524"/>
      <c r="L170" s="524"/>
      <c r="M170" s="561"/>
      <c r="N170" s="524"/>
    </row>
    <row r="171" spans="6:14" ht="12.75">
      <c r="F171" s="524"/>
      <c r="G171" s="524"/>
      <c r="H171" s="524"/>
      <c r="I171" s="524"/>
      <c r="J171" s="524"/>
      <c r="K171" s="524"/>
      <c r="L171" s="524"/>
      <c r="M171" s="561"/>
      <c r="N171" s="524"/>
    </row>
    <row r="172" spans="6:14" ht="12.75">
      <c r="F172" s="524"/>
      <c r="G172" s="524"/>
      <c r="H172" s="524"/>
      <c r="I172" s="524"/>
      <c r="J172" s="524"/>
      <c r="K172" s="524"/>
      <c r="L172" s="524"/>
      <c r="M172" s="561"/>
      <c r="N172" s="524"/>
    </row>
    <row r="173" spans="6:14" ht="12.75">
      <c r="F173" s="524"/>
      <c r="G173" s="524"/>
      <c r="H173" s="524"/>
      <c r="I173" s="524"/>
      <c r="J173" s="524"/>
      <c r="K173" s="524"/>
      <c r="L173" s="524"/>
      <c r="M173" s="561"/>
      <c r="N173" s="524"/>
    </row>
  </sheetData>
  <sheetProtection selectLockedCells="1" selectUnlockedCells="1"/>
  <mergeCells count="22">
    <mergeCell ref="M6:M8"/>
    <mergeCell ref="G7:G8"/>
    <mergeCell ref="J7:J8"/>
    <mergeCell ref="I7:I8"/>
    <mergeCell ref="L7:L8"/>
    <mergeCell ref="H7:H8"/>
    <mergeCell ref="A1:B1"/>
    <mergeCell ref="A3:N3"/>
    <mergeCell ref="A4:N4"/>
    <mergeCell ref="A6:C8"/>
    <mergeCell ref="D6:D8"/>
    <mergeCell ref="E6:E8"/>
    <mergeCell ref="F6:J6"/>
    <mergeCell ref="K6:L6"/>
    <mergeCell ref="N6:N8"/>
    <mergeCell ref="K7:K8"/>
    <mergeCell ref="F7:F8"/>
    <mergeCell ref="A110:B110"/>
    <mergeCell ref="A100:B100"/>
    <mergeCell ref="A102:B102"/>
    <mergeCell ref="A104:B104"/>
    <mergeCell ref="A108:B108"/>
  </mergeCells>
  <printOptions horizontalCentered="1"/>
  <pageMargins left="0.1968503937007874" right="0.15748031496062992" top="0.35433070866141736" bottom="0.15748031496062992" header="0.35433070866141736" footer="0.1968503937007874"/>
  <pageSetup horizontalDpi="600" verticalDpi="600" orientation="landscape" paperSize="9" scale="7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Y38"/>
  <sheetViews>
    <sheetView workbookViewId="0" topLeftCell="A1">
      <selection activeCell="C3" sqref="C3:C4"/>
    </sheetView>
  </sheetViews>
  <sheetFormatPr defaultColWidth="9.00390625" defaultRowHeight="12.75"/>
  <cols>
    <col min="1" max="1" width="25.75390625" style="675" customWidth="1"/>
    <col min="2" max="2" width="6.75390625" style="675" customWidth="1"/>
    <col min="3" max="23" width="9.125" style="675" customWidth="1"/>
    <col min="24" max="25" width="9.125" style="675" hidden="1" customWidth="1"/>
    <col min="26" max="16384" width="9.125" style="675" customWidth="1"/>
  </cols>
  <sheetData>
    <row r="1" spans="1:23" ht="12.75">
      <c r="A1" s="898" t="s">
        <v>575</v>
      </c>
      <c r="B1" s="898"/>
      <c r="C1" s="898"/>
      <c r="D1" s="898"/>
      <c r="E1" s="898"/>
      <c r="F1" s="898"/>
      <c r="G1" s="898"/>
      <c r="H1" s="898"/>
      <c r="I1" s="898"/>
      <c r="J1" s="898"/>
      <c r="K1" s="898"/>
      <c r="L1" s="898"/>
      <c r="M1" s="898"/>
      <c r="N1" s="898"/>
      <c r="O1" s="898" t="s">
        <v>576</v>
      </c>
      <c r="P1" s="898"/>
      <c r="Q1" s="898"/>
      <c r="R1" s="898"/>
      <c r="S1" s="898"/>
      <c r="T1" s="898"/>
      <c r="U1" s="898"/>
      <c r="V1" s="898"/>
      <c r="W1" s="898"/>
    </row>
    <row r="2" spans="1:23" ht="13.5" thickBot="1">
      <c r="A2" s="711"/>
      <c r="B2" s="711"/>
      <c r="C2" s="711"/>
      <c r="D2" s="711"/>
      <c r="E2" s="711"/>
      <c r="F2" s="711"/>
      <c r="G2" s="711"/>
      <c r="H2" s="711"/>
      <c r="I2" s="711"/>
      <c r="J2" s="711"/>
      <c r="K2" s="711"/>
      <c r="L2" s="711"/>
      <c r="M2" s="711"/>
      <c r="N2" s="711"/>
      <c r="O2" s="711"/>
      <c r="P2" s="711"/>
      <c r="Q2" s="711"/>
      <c r="R2" s="711"/>
      <c r="S2" s="711"/>
      <c r="T2" s="711"/>
      <c r="U2" s="711"/>
      <c r="V2" s="711"/>
      <c r="W2" s="711"/>
    </row>
    <row r="3" spans="1:23" ht="12.75" customHeight="1" thickTop="1">
      <c r="A3" s="896" t="s">
        <v>577</v>
      </c>
      <c r="B3" s="894"/>
      <c r="C3" s="894" t="s">
        <v>578</v>
      </c>
      <c r="D3" s="894" t="s">
        <v>579</v>
      </c>
      <c r="E3" s="894" t="s">
        <v>580</v>
      </c>
      <c r="F3" s="894" t="s">
        <v>836</v>
      </c>
      <c r="G3" s="894" t="s">
        <v>581</v>
      </c>
      <c r="H3" s="894"/>
      <c r="I3" s="894" t="s">
        <v>582</v>
      </c>
      <c r="J3" s="894"/>
      <c r="K3" s="894" t="s">
        <v>583</v>
      </c>
      <c r="L3" s="894" t="s">
        <v>648</v>
      </c>
      <c r="M3" s="894"/>
      <c r="N3" s="901" t="s">
        <v>584</v>
      </c>
      <c r="O3" s="899" t="s">
        <v>660</v>
      </c>
      <c r="P3" s="900"/>
      <c r="Q3" s="900"/>
      <c r="R3" s="900"/>
      <c r="S3" s="900"/>
      <c r="T3" s="719"/>
      <c r="U3" s="900" t="s">
        <v>661</v>
      </c>
      <c r="V3" s="900"/>
      <c r="W3" s="901" t="s">
        <v>585</v>
      </c>
    </row>
    <row r="4" spans="1:25" ht="51" customHeight="1">
      <c r="A4" s="897"/>
      <c r="B4" s="895"/>
      <c r="C4" s="895"/>
      <c r="D4" s="895"/>
      <c r="E4" s="895"/>
      <c r="F4" s="895"/>
      <c r="G4" s="676" t="s">
        <v>586</v>
      </c>
      <c r="H4" s="676" t="s">
        <v>587</v>
      </c>
      <c r="I4" s="676" t="s">
        <v>586</v>
      </c>
      <c r="J4" s="676" t="s">
        <v>587</v>
      </c>
      <c r="K4" s="895"/>
      <c r="L4" s="676" t="s">
        <v>588</v>
      </c>
      <c r="M4" s="676" t="s">
        <v>589</v>
      </c>
      <c r="N4" s="902"/>
      <c r="O4" s="720" t="s">
        <v>545</v>
      </c>
      <c r="P4" s="676" t="s">
        <v>590</v>
      </c>
      <c r="Q4" s="676" t="s">
        <v>591</v>
      </c>
      <c r="R4" s="676" t="s">
        <v>592</v>
      </c>
      <c r="S4" s="676" t="s">
        <v>593</v>
      </c>
      <c r="T4" s="676" t="s">
        <v>594</v>
      </c>
      <c r="U4" s="676" t="s">
        <v>541</v>
      </c>
      <c r="V4" s="676" t="s">
        <v>550</v>
      </c>
      <c r="W4" s="902"/>
      <c r="Y4" s="677" t="s">
        <v>595</v>
      </c>
    </row>
    <row r="5" spans="1:25" ht="12.75">
      <c r="A5" s="721" t="str">
        <f>'[1]Eredeti Ft'!A4</f>
        <v>Fürdő utcai Óvoda</v>
      </c>
      <c r="B5" s="678" t="str">
        <f>'[1]Eredeti Ft'!B4</f>
        <v>Eredeti</v>
      </c>
      <c r="C5" s="679">
        <f>ROUND('[1]Eredeti Ft'!C4,-3)/1000</f>
        <v>6203</v>
      </c>
      <c r="D5" s="679">
        <f>ROUND('[1]Eredeti Ft'!D4,-3)/1000</f>
        <v>4470</v>
      </c>
      <c r="E5" s="679">
        <f>ROUND('[1]Eredeti Ft'!E4,-3)/1000</f>
        <v>1551</v>
      </c>
      <c r="F5" s="679">
        <f>ROUND('[1]Eredeti Ft'!F4,-3)/1000</f>
        <v>0</v>
      </c>
      <c r="G5" s="679">
        <f>ROUND('[1]Eredeti Ft'!G4,-3)/1000</f>
        <v>0</v>
      </c>
      <c r="H5" s="679">
        <f>ROUND('[1]Eredeti Ft'!H4,-3)/1000</f>
        <v>0</v>
      </c>
      <c r="I5" s="679">
        <f>ROUND('[1]Eredeti Ft'!I4,-3)/1000</f>
        <v>0</v>
      </c>
      <c r="J5" s="679">
        <f>ROUND('[1]Eredeti Ft'!J4,-3)/1000</f>
        <v>0</v>
      </c>
      <c r="K5" s="679">
        <f>ROUND('[1]Eredeti Ft'!K4,-3)/1000</f>
        <v>0</v>
      </c>
      <c r="L5" s="679">
        <f>ROUND('[1]Eredeti Ft'!L4,-3)/1000</f>
        <v>0</v>
      </c>
      <c r="M5" s="679">
        <f>ROUND('[1]Eredeti Ft'!M4,-3)/1000</f>
        <v>0</v>
      </c>
      <c r="N5" s="722">
        <f aca="true" t="shared" si="0" ref="N5:N18">SUM(C5:M5)-D5</f>
        <v>7754</v>
      </c>
      <c r="O5" s="729">
        <f>ROUND('[1]Eredeti Ft'!O4,-3)/1000</f>
        <v>37169</v>
      </c>
      <c r="P5" s="679">
        <f>ROUND('[1]Eredeti Ft'!P4,-3)/1000-1</f>
        <v>9865</v>
      </c>
      <c r="Q5" s="679">
        <f>ROUND('[1]Eredeti Ft'!Q4,-3)/1000</f>
        <v>12933</v>
      </c>
      <c r="R5" s="679">
        <f>ROUND('[1]Eredeti Ft'!R4,-3)/1000</f>
        <v>5631</v>
      </c>
      <c r="S5" s="679">
        <f>ROUND('[1]Eredeti Ft'!S4,-3)/1000</f>
        <v>0</v>
      </c>
      <c r="T5" s="679">
        <f>ROUND('[1]Eredeti Ft'!T4,-3)/1000</f>
        <v>0</v>
      </c>
      <c r="U5" s="679">
        <f>ROUND('[1]Eredeti Ft'!U4,-3)/1000</f>
        <v>0</v>
      </c>
      <c r="V5" s="679">
        <f>ROUND('[1]Eredeti Ft'!V4,-3)/1000</f>
        <v>0</v>
      </c>
      <c r="W5" s="722">
        <f aca="true" t="shared" si="1" ref="W5:W18">SUM(O5:V5)-R5</f>
        <v>59967</v>
      </c>
      <c r="Y5" s="680">
        <f aca="true" t="shared" si="2" ref="Y5:Y18">SUM(O5:V5)-R5</f>
        <v>59967</v>
      </c>
    </row>
    <row r="6" spans="1:25" ht="12.75">
      <c r="A6" s="721" t="str">
        <f>'[1]Eredeti Ft'!A5</f>
        <v>Kálvária utcai Óvoda</v>
      </c>
      <c r="B6" s="678" t="str">
        <f>'[1]Eredeti Ft'!B5</f>
        <v>Eredeti</v>
      </c>
      <c r="C6" s="679">
        <f>ROUND('[1]Eredeti Ft'!C5,-3)/1000</f>
        <v>3058</v>
      </c>
      <c r="D6" s="679">
        <f>ROUND('[1]Eredeti Ft'!D5,-3)/1000</f>
        <v>2487</v>
      </c>
      <c r="E6" s="679">
        <f>ROUND('[1]Eredeti Ft'!E5,-3)/1000</f>
        <v>765</v>
      </c>
      <c r="F6" s="679">
        <f>ROUND('[1]Eredeti Ft'!F5,-3)/1000</f>
        <v>0</v>
      </c>
      <c r="G6" s="679">
        <f>ROUND('[1]Eredeti Ft'!G5,-3)/1000</f>
        <v>0</v>
      </c>
      <c r="H6" s="679">
        <f>ROUND('[1]Eredeti Ft'!H5,-3)/1000</f>
        <v>0</v>
      </c>
      <c r="I6" s="679">
        <f>ROUND('[1]Eredeti Ft'!I5,-3)/1000</f>
        <v>0</v>
      </c>
      <c r="J6" s="679">
        <f>ROUND('[1]Eredeti Ft'!J5,-3)/1000</f>
        <v>0</v>
      </c>
      <c r="K6" s="679">
        <f>ROUND('[1]Eredeti Ft'!K5,-3)/1000</f>
        <v>0</v>
      </c>
      <c r="L6" s="679">
        <f>ROUND('[1]Eredeti Ft'!L5,-3)/1000</f>
        <v>0</v>
      </c>
      <c r="M6" s="679">
        <f>ROUND('[1]Eredeti Ft'!M5,-3)/1000</f>
        <v>0</v>
      </c>
      <c r="N6" s="722">
        <f t="shared" si="0"/>
        <v>3823</v>
      </c>
      <c r="O6" s="729">
        <f>ROUND('[1]Eredeti Ft'!O5,-3)/1000</f>
        <v>25375</v>
      </c>
      <c r="P6" s="679">
        <f>ROUND('[1]Eredeti Ft'!P5,-3)/1000</f>
        <v>6781</v>
      </c>
      <c r="Q6" s="679">
        <f>ROUND('[1]Eredeti Ft'!Q5,-3)/1000</f>
        <v>9556</v>
      </c>
      <c r="R6" s="679">
        <f>ROUND('[1]Eredeti Ft'!R5,-3)/1000</f>
        <v>4648</v>
      </c>
      <c r="S6" s="679">
        <f>ROUND('[1]Eredeti Ft'!S5,-3)/1000</f>
        <v>0</v>
      </c>
      <c r="T6" s="679">
        <f>ROUND('[1]Eredeti Ft'!T5,-3)/1000</f>
        <v>0</v>
      </c>
      <c r="U6" s="679">
        <f>ROUND('[1]Eredeti Ft'!U5,-3)/1000</f>
        <v>0</v>
      </c>
      <c r="V6" s="679">
        <f>ROUND('[1]Eredeti Ft'!V5,-3)/1000</f>
        <v>0</v>
      </c>
      <c r="W6" s="722">
        <f t="shared" si="1"/>
        <v>41712</v>
      </c>
      <c r="Y6" s="680">
        <f t="shared" si="2"/>
        <v>41712</v>
      </c>
    </row>
    <row r="7" spans="1:25" ht="12.75">
      <c r="A7" s="721" t="str">
        <f>'[1]Eredeti Ft'!A6</f>
        <v>Szivárvány Óvoda</v>
      </c>
      <c r="B7" s="678" t="str">
        <f>'[1]Eredeti Ft'!B6</f>
        <v>Eredeti</v>
      </c>
      <c r="C7" s="679">
        <f>ROUND('[1]Eredeti Ft'!C6,-3)/1000</f>
        <v>2208</v>
      </c>
      <c r="D7" s="679">
        <f>ROUND('[1]Eredeti Ft'!D6,-3)/1000</f>
        <v>1922</v>
      </c>
      <c r="E7" s="679">
        <f>ROUND('[1]Eredeti Ft'!E6,-3)/1000</f>
        <v>552</v>
      </c>
      <c r="F7" s="679">
        <f>ROUND('[1]Eredeti Ft'!F6,-3)/1000</f>
        <v>0</v>
      </c>
      <c r="G7" s="679">
        <f>ROUND('[1]Eredeti Ft'!G6,-3)/1000</f>
        <v>0</v>
      </c>
      <c r="H7" s="679">
        <f>ROUND('[1]Eredeti Ft'!H6,-3)/1000</f>
        <v>0</v>
      </c>
      <c r="I7" s="679">
        <f>ROUND('[1]Eredeti Ft'!I6,-3)/1000</f>
        <v>0</v>
      </c>
      <c r="J7" s="679">
        <f>ROUND('[1]Eredeti Ft'!J6,-3)/1000</f>
        <v>0</v>
      </c>
      <c r="K7" s="679">
        <f>ROUND('[1]Eredeti Ft'!K6,-3)/1000</f>
        <v>0</v>
      </c>
      <c r="L7" s="679">
        <f>ROUND('[1]Eredeti Ft'!L6,-3)/1000</f>
        <v>0</v>
      </c>
      <c r="M7" s="679">
        <f>ROUND('[1]Eredeti Ft'!M6,-3)/1000</f>
        <v>0</v>
      </c>
      <c r="N7" s="722">
        <f t="shared" si="0"/>
        <v>2760</v>
      </c>
      <c r="O7" s="729">
        <f>ROUND('[1]Eredeti Ft'!O6,-3)/1000</f>
        <v>13269</v>
      </c>
      <c r="P7" s="679">
        <f>ROUND('[1]Eredeti Ft'!P6,-3)/1000</f>
        <v>3507</v>
      </c>
      <c r="Q7" s="679">
        <f>ROUND('[1]Eredeti Ft'!Q6,-3)/1000</f>
        <v>6533</v>
      </c>
      <c r="R7" s="679">
        <f>ROUND('[1]Eredeti Ft'!R6,-3)/1000</f>
        <v>2716</v>
      </c>
      <c r="S7" s="679">
        <f>ROUND('[1]Eredeti Ft'!S6,-3)/1000</f>
        <v>0</v>
      </c>
      <c r="T7" s="679">
        <f>ROUND('[1]Eredeti Ft'!T6,-3)/1000</f>
        <v>0</v>
      </c>
      <c r="U7" s="679">
        <f>ROUND('[1]Eredeti Ft'!U6,-3)/1000</f>
        <v>0</v>
      </c>
      <c r="V7" s="679">
        <f>ROUND('[1]Eredeti Ft'!V6,-3)/1000</f>
        <v>0</v>
      </c>
      <c r="W7" s="722">
        <f t="shared" si="1"/>
        <v>23309</v>
      </c>
      <c r="Y7" s="680">
        <f t="shared" si="2"/>
        <v>23309</v>
      </c>
    </row>
    <row r="8" spans="1:25" ht="12.75">
      <c r="A8" s="721" t="str">
        <f>'[1]Eredeti Ft'!A7</f>
        <v>Kuckó Óvoda</v>
      </c>
      <c r="B8" s="678" t="str">
        <f>'[1]Eredeti Ft'!B7</f>
        <v>Eredeti</v>
      </c>
      <c r="C8" s="679">
        <f>ROUND('[1]Eredeti Ft'!C7,-3)/1000</f>
        <v>0</v>
      </c>
      <c r="D8" s="679">
        <f>ROUND('[1]Eredeti Ft'!D7,-3)/1000</f>
        <v>0</v>
      </c>
      <c r="E8" s="679">
        <f>ROUND('[1]Eredeti Ft'!E7,-3)/1000</f>
        <v>0</v>
      </c>
      <c r="F8" s="679">
        <f>ROUND('[1]Eredeti Ft'!F7,-3)/1000</f>
        <v>0</v>
      </c>
      <c r="G8" s="679">
        <f>ROUND('[1]Eredeti Ft'!G7,-3)/1000</f>
        <v>0</v>
      </c>
      <c r="H8" s="679">
        <f>ROUND('[1]Eredeti Ft'!H7,-3)/1000</f>
        <v>0</v>
      </c>
      <c r="I8" s="679">
        <f>ROUND('[1]Eredeti Ft'!I7,-3)/1000</f>
        <v>0</v>
      </c>
      <c r="J8" s="679">
        <f>ROUND('[1]Eredeti Ft'!J7,-3)/1000</f>
        <v>0</v>
      </c>
      <c r="K8" s="679">
        <f>ROUND('[1]Eredeti Ft'!K7,-3)/1000</f>
        <v>0</v>
      </c>
      <c r="L8" s="679">
        <f>ROUND('[1]Eredeti Ft'!L7,-3)/1000</f>
        <v>0</v>
      </c>
      <c r="M8" s="679">
        <f>ROUND('[1]Eredeti Ft'!M7,-3)/1000</f>
        <v>0</v>
      </c>
      <c r="N8" s="722">
        <f t="shared" si="0"/>
        <v>0</v>
      </c>
      <c r="O8" s="729">
        <f>ROUND('[1]Eredeti Ft'!O7,-3)/1000</f>
        <v>0</v>
      </c>
      <c r="P8" s="679">
        <f>ROUND('[1]Eredeti Ft'!P7,-3)/1000</f>
        <v>0</v>
      </c>
      <c r="Q8" s="679">
        <f>ROUND('[1]Eredeti Ft'!Q7,-3)/1000</f>
        <v>0</v>
      </c>
      <c r="R8" s="679">
        <f>ROUND('[1]Eredeti Ft'!R7,-3)/1000</f>
        <v>0</v>
      </c>
      <c r="S8" s="679">
        <f>ROUND('[1]Eredeti Ft'!S7,-3)/1000</f>
        <v>0</v>
      </c>
      <c r="T8" s="679">
        <f>ROUND('[1]Eredeti Ft'!T7,-3)/1000</f>
        <v>0</v>
      </c>
      <c r="U8" s="679">
        <f>ROUND('[1]Eredeti Ft'!U7,-3)/1000</f>
        <v>0</v>
      </c>
      <c r="V8" s="679">
        <f>ROUND('[1]Eredeti Ft'!V7,-3)/1000</f>
        <v>0</v>
      </c>
      <c r="W8" s="722">
        <f t="shared" si="1"/>
        <v>0</v>
      </c>
      <c r="Y8" s="680">
        <f t="shared" si="2"/>
        <v>0</v>
      </c>
    </row>
    <row r="9" spans="1:25" ht="12.75">
      <c r="A9" s="721" t="str">
        <f>'[1]Eredeti Ft'!A8</f>
        <v>Geszti Óvoda</v>
      </c>
      <c r="B9" s="678" t="str">
        <f>'[1]Eredeti Ft'!B8</f>
        <v>Eredeti</v>
      </c>
      <c r="C9" s="679">
        <f>ROUND('[1]Eredeti Ft'!C8,-3)/1000</f>
        <v>4599</v>
      </c>
      <c r="D9" s="679">
        <f>ROUND('[1]Eredeti Ft'!D8,-3)/1000</f>
        <v>3906</v>
      </c>
      <c r="E9" s="679">
        <f>ROUND('[1]Eredeti Ft'!E8,-3)/1000</f>
        <v>1150</v>
      </c>
      <c r="F9" s="679">
        <f>ROUND('[1]Eredeti Ft'!F8,-3)/1000</f>
        <v>0</v>
      </c>
      <c r="G9" s="679">
        <f>ROUND('[1]Eredeti Ft'!G8,-3)/1000</f>
        <v>0</v>
      </c>
      <c r="H9" s="679">
        <f>ROUND('[1]Eredeti Ft'!H8,-3)/1000</f>
        <v>0</v>
      </c>
      <c r="I9" s="679">
        <f>ROUND('[1]Eredeti Ft'!I8,-3)/1000</f>
        <v>0</v>
      </c>
      <c r="J9" s="679">
        <f>ROUND('[1]Eredeti Ft'!J8,-3)/1000</f>
        <v>0</v>
      </c>
      <c r="K9" s="679">
        <f>ROUND('[1]Eredeti Ft'!K8,-3)/1000</f>
        <v>0</v>
      </c>
      <c r="L9" s="679">
        <f>ROUND('[1]Eredeti Ft'!L8,-3)/1000</f>
        <v>0</v>
      </c>
      <c r="M9" s="679">
        <f>ROUND('[1]Eredeti Ft'!M8,-3)/1000</f>
        <v>0</v>
      </c>
      <c r="N9" s="722">
        <f t="shared" si="0"/>
        <v>5749</v>
      </c>
      <c r="O9" s="729">
        <f>ROUND('[1]Eredeti Ft'!O8,-3)/1000</f>
        <v>29349</v>
      </c>
      <c r="P9" s="679">
        <f>ROUND('[1]Eredeti Ft'!P8,-3)/1000</f>
        <v>7800</v>
      </c>
      <c r="Q9" s="679">
        <f>ROUND('[1]Eredeti Ft'!Q8,-3)/1000</f>
        <v>10285</v>
      </c>
      <c r="R9" s="679">
        <f>ROUND('[1]Eredeti Ft'!R8,-3)/1000</f>
        <v>4577</v>
      </c>
      <c r="S9" s="679">
        <f>ROUND('[1]Eredeti Ft'!S8,-3)/1000</f>
        <v>0</v>
      </c>
      <c r="T9" s="679">
        <f>ROUND('[1]Eredeti Ft'!T8,-3)/1000</f>
        <v>0</v>
      </c>
      <c r="U9" s="679">
        <f>ROUND('[1]Eredeti Ft'!U8,-3)/1000</f>
        <v>0</v>
      </c>
      <c r="V9" s="679">
        <f>ROUND('[1]Eredeti Ft'!V8,-3)/1000</f>
        <v>0</v>
      </c>
      <c r="W9" s="722">
        <f t="shared" si="1"/>
        <v>47434</v>
      </c>
      <c r="Y9" s="680">
        <f t="shared" si="2"/>
        <v>47434</v>
      </c>
    </row>
    <row r="10" spans="1:25" ht="12.75">
      <c r="A10" s="721" t="str">
        <f>'[1]Eredeti Ft'!A9</f>
        <v>Bartók B. utcai Óvoda</v>
      </c>
      <c r="B10" s="678" t="str">
        <f>'[1]Eredeti Ft'!B9</f>
        <v>Eredeti</v>
      </c>
      <c r="C10" s="679">
        <f>ROUND('[1]Eredeti Ft'!C9,-3)/1000</f>
        <v>5005</v>
      </c>
      <c r="D10" s="679">
        <f>ROUND('[1]Eredeti Ft'!D9,-3)/1000</f>
        <v>4028</v>
      </c>
      <c r="E10" s="679">
        <f>ROUND('[1]Eredeti Ft'!E9,-3)/1000</f>
        <v>1251</v>
      </c>
      <c r="F10" s="679">
        <f>ROUND('[1]Eredeti Ft'!F9,-3)/1000</f>
        <v>0</v>
      </c>
      <c r="G10" s="679">
        <f>ROUND('[1]Eredeti Ft'!G9,-3)/1000</f>
        <v>0</v>
      </c>
      <c r="H10" s="679">
        <f>ROUND('[1]Eredeti Ft'!H9,-3)/1000</f>
        <v>0</v>
      </c>
      <c r="I10" s="679">
        <f>ROUND('[1]Eredeti Ft'!I9,-3)/1000</f>
        <v>0</v>
      </c>
      <c r="J10" s="679">
        <f>ROUND('[1]Eredeti Ft'!J9,-3)/1000</f>
        <v>0</v>
      </c>
      <c r="K10" s="679">
        <f>ROUND('[1]Eredeti Ft'!K9,-3)/1000</f>
        <v>0</v>
      </c>
      <c r="L10" s="679">
        <f>ROUND('[1]Eredeti Ft'!L9,-3)/1000</f>
        <v>0</v>
      </c>
      <c r="M10" s="679">
        <f>ROUND('[1]Eredeti Ft'!M9,-3)/1000</f>
        <v>0</v>
      </c>
      <c r="N10" s="722">
        <f t="shared" si="0"/>
        <v>6256</v>
      </c>
      <c r="O10" s="729">
        <f>ROUND('[1]Eredeti Ft'!O9,-3)/1000</f>
        <v>38893</v>
      </c>
      <c r="P10" s="679">
        <f>ROUND('[1]Eredeti Ft'!P9,-3)/1000</f>
        <v>10316</v>
      </c>
      <c r="Q10" s="679">
        <f>ROUND('[1]Eredeti Ft'!Q9,-3)/1000</f>
        <v>16785</v>
      </c>
      <c r="R10" s="679">
        <f>ROUND('[1]Eredeti Ft'!R9,-3)/1000</f>
        <v>5976</v>
      </c>
      <c r="S10" s="679">
        <f>ROUND('[1]Eredeti Ft'!S9,-3)/1000</f>
        <v>0</v>
      </c>
      <c r="T10" s="679">
        <f>ROUND('[1]Eredeti Ft'!T9,-3)/1000</f>
        <v>0</v>
      </c>
      <c r="U10" s="679">
        <f>ROUND('[1]Eredeti Ft'!U9,-3)/1000</f>
        <v>0</v>
      </c>
      <c r="V10" s="679">
        <f>ROUND('[1]Eredeti Ft'!V9,-3)/1000</f>
        <v>0</v>
      </c>
      <c r="W10" s="722">
        <f t="shared" si="1"/>
        <v>65994</v>
      </c>
      <c r="Y10" s="680">
        <f t="shared" si="2"/>
        <v>65994</v>
      </c>
    </row>
    <row r="11" spans="1:25" ht="12.75">
      <c r="A11" s="721" t="str">
        <f>'[1]Eredeti Ft'!A10</f>
        <v>Kertvárosi Óvoda</v>
      </c>
      <c r="B11" s="678" t="str">
        <f>'[1]Eredeti Ft'!B10</f>
        <v>Eredeti</v>
      </c>
      <c r="C11" s="679">
        <f>ROUND('[1]Eredeti Ft'!C10,-3)/1000</f>
        <v>5649</v>
      </c>
      <c r="D11" s="679">
        <f>ROUND('[1]Eredeti Ft'!D10,-3)/1000</f>
        <v>2487</v>
      </c>
      <c r="E11" s="679">
        <f>ROUND('[1]Eredeti Ft'!E10,-3)/1000</f>
        <v>1412</v>
      </c>
      <c r="F11" s="679">
        <f>ROUND('[1]Eredeti Ft'!F10,-3)/1000</f>
        <v>0</v>
      </c>
      <c r="G11" s="679">
        <f>ROUND('[1]Eredeti Ft'!G10,-3)/1000</f>
        <v>0</v>
      </c>
      <c r="H11" s="679">
        <f>ROUND('[1]Eredeti Ft'!H10,-3)/1000</f>
        <v>0</v>
      </c>
      <c r="I11" s="679">
        <f>ROUND('[1]Eredeti Ft'!I10,-3)/1000</f>
        <v>0</v>
      </c>
      <c r="J11" s="679">
        <f>ROUND('[1]Eredeti Ft'!J10,-3)/1000</f>
        <v>0</v>
      </c>
      <c r="K11" s="679">
        <f>ROUND('[1]Eredeti Ft'!K10,-3)/1000</f>
        <v>0</v>
      </c>
      <c r="L11" s="679">
        <f>ROUND('[1]Eredeti Ft'!L10,-3)/1000</f>
        <v>0</v>
      </c>
      <c r="M11" s="679">
        <f>ROUND('[1]Eredeti Ft'!M10,-3)/1000</f>
        <v>0</v>
      </c>
      <c r="N11" s="722">
        <f t="shared" si="0"/>
        <v>7061</v>
      </c>
      <c r="O11" s="729">
        <f>ROUND('[1]Eredeti Ft'!O10,-3)/1000</f>
        <v>25874</v>
      </c>
      <c r="P11" s="679">
        <f>ROUND('[1]Eredeti Ft'!P10,-3)/1000</f>
        <v>6895</v>
      </c>
      <c r="Q11" s="679">
        <f>ROUND('[1]Eredeti Ft'!Q10,-3)/1000</f>
        <v>10835</v>
      </c>
      <c r="R11" s="679">
        <f>ROUND('[1]Eredeti Ft'!R10,-3)/1000</f>
        <v>3103</v>
      </c>
      <c r="S11" s="679">
        <f>ROUND('[1]Eredeti Ft'!S10,-3)/1000</f>
        <v>0</v>
      </c>
      <c r="T11" s="679">
        <f>ROUND('[1]Eredeti Ft'!T10,-3)/1000</f>
        <v>0</v>
      </c>
      <c r="U11" s="679">
        <f>ROUND('[1]Eredeti Ft'!U10,-3)/1000</f>
        <v>0</v>
      </c>
      <c r="V11" s="679">
        <f>ROUND('[1]Eredeti Ft'!V10,-3)/1000</f>
        <v>4500</v>
      </c>
      <c r="W11" s="722">
        <f t="shared" si="1"/>
        <v>48104</v>
      </c>
      <c r="Y11" s="680">
        <f t="shared" si="2"/>
        <v>48104</v>
      </c>
    </row>
    <row r="12" spans="1:25" ht="12.75">
      <c r="A12" s="721" t="str">
        <f>'[1]Eredeti Ft'!A11</f>
        <v>Kincseskert Óvoda</v>
      </c>
      <c r="B12" s="678" t="str">
        <f>'[1]Eredeti Ft'!B11</f>
        <v>Eredeti</v>
      </c>
      <c r="C12" s="679">
        <f>ROUND('[1]Eredeti Ft'!C11,-3)/1000</f>
        <v>4187</v>
      </c>
      <c r="D12" s="679">
        <f>ROUND('[1]Eredeti Ft'!D11,-3)/1000</f>
        <v>3615</v>
      </c>
      <c r="E12" s="679">
        <f>ROUND('[1]Eredeti Ft'!E11,-3)/1000-1</f>
        <v>1046</v>
      </c>
      <c r="F12" s="679">
        <f>ROUND('[1]Eredeti Ft'!F11,-3)/1000</f>
        <v>0</v>
      </c>
      <c r="G12" s="679">
        <f>ROUND('[1]Eredeti Ft'!G11,-3)/1000</f>
        <v>0</v>
      </c>
      <c r="H12" s="679">
        <f>ROUND('[1]Eredeti Ft'!H11,-3)/1000</f>
        <v>0</v>
      </c>
      <c r="I12" s="679">
        <f>ROUND('[1]Eredeti Ft'!I11,-3)/1000</f>
        <v>0</v>
      </c>
      <c r="J12" s="679">
        <f>ROUND('[1]Eredeti Ft'!J11,-3)/1000</f>
        <v>0</v>
      </c>
      <c r="K12" s="679">
        <f>ROUND('[1]Eredeti Ft'!K11,-3)/1000</f>
        <v>0</v>
      </c>
      <c r="L12" s="679">
        <f>ROUND('[1]Eredeti Ft'!L11,-3)/1000</f>
        <v>0</v>
      </c>
      <c r="M12" s="679">
        <f>ROUND('[1]Eredeti Ft'!M11,-3)/1000</f>
        <v>0</v>
      </c>
      <c r="N12" s="722">
        <f t="shared" si="0"/>
        <v>5233</v>
      </c>
      <c r="O12" s="729">
        <f>ROUND('[1]Eredeti Ft'!O11,-3)/1000</f>
        <v>27157</v>
      </c>
      <c r="P12" s="679">
        <f>ROUND('[1]Eredeti Ft'!P11,-3)/1000</f>
        <v>7242</v>
      </c>
      <c r="Q12" s="679">
        <f>ROUND('[1]Eredeti Ft'!Q11,-3)/1000</f>
        <v>10586</v>
      </c>
      <c r="R12" s="679">
        <f>ROUND('[1]Eredeti Ft'!R11,-3)/1000</f>
        <v>4725</v>
      </c>
      <c r="S12" s="679">
        <f>ROUND('[1]Eredeti Ft'!S11,-3)/1000</f>
        <v>0</v>
      </c>
      <c r="T12" s="679">
        <f>ROUND('[1]Eredeti Ft'!T11,-3)/1000</f>
        <v>0</v>
      </c>
      <c r="U12" s="679">
        <f>ROUND('[1]Eredeti Ft'!U11,-3)/1000</f>
        <v>0</v>
      </c>
      <c r="V12" s="679">
        <f>ROUND('[1]Eredeti Ft'!V11,-3)/1000</f>
        <v>0</v>
      </c>
      <c r="W12" s="722">
        <f t="shared" si="1"/>
        <v>44985</v>
      </c>
      <c r="Y12" s="680">
        <f t="shared" si="2"/>
        <v>44985</v>
      </c>
    </row>
    <row r="13" spans="1:25" ht="12.75">
      <c r="A13" s="721" t="str">
        <f>'[1]Eredeti Ft'!A12</f>
        <v>Bergengócia Óvoda</v>
      </c>
      <c r="B13" s="678" t="str">
        <f>'[1]Eredeti Ft'!B12</f>
        <v>Eredeti</v>
      </c>
      <c r="C13" s="679">
        <f>ROUND('[1]Eredeti Ft'!C12,-3)/1000-1</f>
        <v>1002</v>
      </c>
      <c r="D13" s="679">
        <f>ROUND('[1]Eredeti Ft'!D12,-3)/1000</f>
        <v>839</v>
      </c>
      <c r="E13" s="679">
        <f>ROUND('[1]Eredeti Ft'!E12,-3)/1000</f>
        <v>251</v>
      </c>
      <c r="F13" s="679">
        <f>ROUND('[1]Eredeti Ft'!F12,-3)/1000</f>
        <v>0</v>
      </c>
      <c r="G13" s="679">
        <f>ROUND('[1]Eredeti Ft'!G12,-3)/1000</f>
        <v>0</v>
      </c>
      <c r="H13" s="679">
        <f>ROUND('[1]Eredeti Ft'!H12,-3)/1000</f>
        <v>0</v>
      </c>
      <c r="I13" s="679">
        <f>ROUND('[1]Eredeti Ft'!I12,-3)/1000</f>
        <v>0</v>
      </c>
      <c r="J13" s="679">
        <f>ROUND('[1]Eredeti Ft'!J12,-3)/1000</f>
        <v>0</v>
      </c>
      <c r="K13" s="679">
        <f>ROUND('[1]Eredeti Ft'!K12,-3)/1000</f>
        <v>0</v>
      </c>
      <c r="L13" s="679">
        <f>ROUND('[1]Eredeti Ft'!L12,-3)/1000</f>
        <v>0</v>
      </c>
      <c r="M13" s="679">
        <f>ROUND('[1]Eredeti Ft'!M12,-3)/1000</f>
        <v>0</v>
      </c>
      <c r="N13" s="722">
        <f t="shared" si="0"/>
        <v>1253</v>
      </c>
      <c r="O13" s="729">
        <f>ROUND('[1]Eredeti Ft'!O12,-3)/1000</f>
        <v>7193</v>
      </c>
      <c r="P13" s="679">
        <f>ROUND('[1]Eredeti Ft'!P12,-3)/1000</f>
        <v>1936</v>
      </c>
      <c r="Q13" s="679">
        <f>ROUND('[1]Eredeti Ft'!Q12,-3)/1000</f>
        <v>2957</v>
      </c>
      <c r="R13" s="679">
        <f>ROUND('[1]Eredeti Ft'!R12,-3)/1000</f>
        <v>1040</v>
      </c>
      <c r="S13" s="679">
        <f>ROUND('[1]Eredeti Ft'!S12,-3)/1000</f>
        <v>0</v>
      </c>
      <c r="T13" s="679">
        <f>ROUND('[1]Eredeti Ft'!T12,-3)/1000</f>
        <v>0</v>
      </c>
      <c r="U13" s="679">
        <f>ROUND('[1]Eredeti Ft'!U12,-3)/1000</f>
        <v>0</v>
      </c>
      <c r="V13" s="679">
        <f>ROUND('[1]Eredeti Ft'!V12,-3)/1000</f>
        <v>0</v>
      </c>
      <c r="W13" s="722">
        <f t="shared" si="1"/>
        <v>12086</v>
      </c>
      <c r="Y13" s="680">
        <f t="shared" si="2"/>
        <v>12086</v>
      </c>
    </row>
    <row r="14" spans="1:25" ht="12.75">
      <c r="A14" s="721" t="str">
        <f>'[1]Eredeti Ft'!A13</f>
        <v>Bölcsöde</v>
      </c>
      <c r="B14" s="678" t="str">
        <f>'[1]Eredeti Ft'!B13</f>
        <v>Eredeti</v>
      </c>
      <c r="C14" s="679">
        <f>ROUND('[1]Eredeti Ft'!C13,-3)/1000</f>
        <v>4677</v>
      </c>
      <c r="D14" s="679">
        <f>ROUND('[1]Eredeti Ft'!D13,-3)/1000</f>
        <v>3295</v>
      </c>
      <c r="E14" s="679">
        <f>ROUND('[1]Eredeti Ft'!E13,-3)/1000</f>
        <v>1169</v>
      </c>
      <c r="F14" s="679">
        <f>ROUND('[1]Eredeti Ft'!F13,-3)/1000</f>
        <v>0</v>
      </c>
      <c r="G14" s="679">
        <f>ROUND('[1]Eredeti Ft'!G13,-3)/1000</f>
        <v>0</v>
      </c>
      <c r="H14" s="679">
        <f>ROUND('[1]Eredeti Ft'!H13,-3)/1000</f>
        <v>0</v>
      </c>
      <c r="I14" s="679">
        <f>ROUND('[1]Eredeti Ft'!I13,-3)/1000</f>
        <v>0</v>
      </c>
      <c r="J14" s="679">
        <f>ROUND('[1]Eredeti Ft'!J13,-3)/1000</f>
        <v>0</v>
      </c>
      <c r="K14" s="679">
        <f>ROUND('[1]Eredeti Ft'!K13,-3)/1000</f>
        <v>0</v>
      </c>
      <c r="L14" s="679">
        <f>ROUND('[1]Eredeti Ft'!L13,-3)/1000</f>
        <v>0</v>
      </c>
      <c r="M14" s="679">
        <f>ROUND('[1]Eredeti Ft'!M13,-3)/1000</f>
        <v>0</v>
      </c>
      <c r="N14" s="722">
        <f t="shared" si="0"/>
        <v>5846</v>
      </c>
      <c r="O14" s="729">
        <f>ROUND('[1]Eredeti Ft'!O13,-3)/1000</f>
        <v>37987</v>
      </c>
      <c r="P14" s="679">
        <f>ROUND('[1]Eredeti Ft'!P13,-3)/1000</f>
        <v>10028</v>
      </c>
      <c r="Q14" s="679">
        <f>ROUND('[1]Eredeti Ft'!Q13,-3)/1000</f>
        <v>19990</v>
      </c>
      <c r="R14" s="679">
        <f>ROUND('[1]Eredeti Ft'!R13,-3)/1000</f>
        <v>3917</v>
      </c>
      <c r="S14" s="679">
        <f>ROUND('[1]Eredeti Ft'!S13,-3)/1000</f>
        <v>0</v>
      </c>
      <c r="T14" s="679">
        <f>ROUND('[1]Eredeti Ft'!T13,-3)/1000</f>
        <v>0</v>
      </c>
      <c r="U14" s="679">
        <f>ROUND('[1]Eredeti Ft'!U13,-3)/1000</f>
        <v>0</v>
      </c>
      <c r="V14" s="679">
        <f>ROUND('[1]Eredeti Ft'!V13,-3)/1000</f>
        <v>5000</v>
      </c>
      <c r="W14" s="722">
        <f t="shared" si="1"/>
        <v>73005</v>
      </c>
      <c r="Y14" s="680">
        <f t="shared" si="2"/>
        <v>73005</v>
      </c>
    </row>
    <row r="15" spans="1:25" ht="12.75">
      <c r="A15" s="721" t="str">
        <f>'[1]Eredeti Ft'!A14</f>
        <v>Vaszary J. Általános Iskola</v>
      </c>
      <c r="B15" s="678" t="str">
        <f>'[1]Eredeti Ft'!B14</f>
        <v>Eredeti</v>
      </c>
      <c r="C15" s="679">
        <f>ROUND('[1]Eredeti Ft'!C14,-3)/1000</f>
        <v>15919</v>
      </c>
      <c r="D15" s="679">
        <f>ROUND('[1]Eredeti Ft'!D14,-3)/1000</f>
        <v>12826</v>
      </c>
      <c r="E15" s="679">
        <f>ROUND('[1]Eredeti Ft'!E14,-3)/1000</f>
        <v>3354</v>
      </c>
      <c r="F15" s="679">
        <f>ROUND('[1]Eredeti Ft'!F14,-3)/1000</f>
        <v>4200</v>
      </c>
      <c r="G15" s="679">
        <f>ROUND('[1]Eredeti Ft'!G14,-3)/1000</f>
        <v>1500</v>
      </c>
      <c r="H15" s="679">
        <f>ROUND('[1]Eredeti Ft'!H14,-3)/1000</f>
        <v>0</v>
      </c>
      <c r="I15" s="679">
        <f>ROUND('[1]Eredeti Ft'!I14,-3)/1000</f>
        <v>0</v>
      </c>
      <c r="J15" s="679">
        <f>ROUND('[1]Eredeti Ft'!J14,-3)/1000</f>
        <v>0</v>
      </c>
      <c r="K15" s="679">
        <f>ROUND('[1]Eredeti Ft'!K14,-3)/1000</f>
        <v>0</v>
      </c>
      <c r="L15" s="679">
        <f>ROUND('[1]Eredeti Ft'!L14,-3)/1000</f>
        <v>0</v>
      </c>
      <c r="M15" s="679">
        <f>ROUND('[1]Eredeti Ft'!M14,-3)/1000</f>
        <v>0</v>
      </c>
      <c r="N15" s="722">
        <f t="shared" si="0"/>
        <v>24973</v>
      </c>
      <c r="O15" s="729">
        <f>ROUND('[1]Eredeti Ft'!O14,-3)/1000</f>
        <v>159000</v>
      </c>
      <c r="P15" s="679">
        <f>ROUND('[1]Eredeti Ft'!P14,-3)/1000</f>
        <v>42524</v>
      </c>
      <c r="Q15" s="679">
        <f>ROUND('[1]Eredeti Ft'!Q14,-3)/1000</f>
        <v>68585</v>
      </c>
      <c r="R15" s="679">
        <f>ROUND('[1]Eredeti Ft'!R14,-3)/1000</f>
        <v>31893</v>
      </c>
      <c r="S15" s="679">
        <f>ROUND('[1]Eredeti Ft'!S14,-3)/1000</f>
        <v>4200</v>
      </c>
      <c r="T15" s="679">
        <f>ROUND('[1]Eredeti Ft'!T14,-3)/1000</f>
        <v>4200</v>
      </c>
      <c r="U15" s="679">
        <f>ROUND('[1]Eredeti Ft'!U14,-3)/1000</f>
        <v>0</v>
      </c>
      <c r="V15" s="679">
        <f>ROUND('[1]Eredeti Ft'!V14,-3)/1000</f>
        <v>2300</v>
      </c>
      <c r="W15" s="722">
        <f t="shared" si="1"/>
        <v>280809</v>
      </c>
      <c r="Y15" s="680">
        <f t="shared" si="2"/>
        <v>280809</v>
      </c>
    </row>
    <row r="16" spans="1:25" ht="12.75">
      <c r="A16" s="721" t="str">
        <f>'[1]Eredeti Ft'!A15</f>
        <v>Vaszary - Logopédiai Intézet</v>
      </c>
      <c r="B16" s="678" t="str">
        <f>'[1]Eredeti Ft'!B15</f>
        <v>Eredeti</v>
      </c>
      <c r="C16" s="679">
        <f>ROUND('[1]Eredeti Ft'!C15,-3)/1000</f>
        <v>0</v>
      </c>
      <c r="D16" s="679">
        <f>ROUND('[1]Eredeti Ft'!D15,-3)/1000</f>
        <v>0</v>
      </c>
      <c r="E16" s="679">
        <f>ROUND('[1]Eredeti Ft'!E15,-3)/1000</f>
        <v>0</v>
      </c>
      <c r="F16" s="679">
        <f>ROUND('[1]Eredeti Ft'!F15,-3)/1000</f>
        <v>0</v>
      </c>
      <c r="G16" s="679">
        <f>ROUND('[1]Eredeti Ft'!G15,-3)/1000</f>
        <v>0</v>
      </c>
      <c r="H16" s="679">
        <f>ROUND('[1]Eredeti Ft'!H15,-3)/1000</f>
        <v>0</v>
      </c>
      <c r="I16" s="679">
        <f>ROUND('[1]Eredeti Ft'!I15,-3)/1000</f>
        <v>5494</v>
      </c>
      <c r="J16" s="679">
        <f>ROUND('[1]Eredeti Ft'!J15,-3)/1000</f>
        <v>0</v>
      </c>
      <c r="K16" s="679">
        <f>ROUND('[1]Eredeti Ft'!K15,-3)/1000</f>
        <v>0</v>
      </c>
      <c r="L16" s="679">
        <f>ROUND('[1]Eredeti Ft'!L15,-3)/1000</f>
        <v>0</v>
      </c>
      <c r="M16" s="679">
        <f>ROUND('[1]Eredeti Ft'!M15,-3)/1000</f>
        <v>0</v>
      </c>
      <c r="N16" s="722">
        <f t="shared" si="0"/>
        <v>5494</v>
      </c>
      <c r="O16" s="729">
        <f>ROUND('[1]Eredeti Ft'!O15,-3)/1000</f>
        <v>21810</v>
      </c>
      <c r="P16" s="679">
        <f>ROUND('[1]Eredeti Ft'!P15,-3)/1000</f>
        <v>5774</v>
      </c>
      <c r="Q16" s="679">
        <f>ROUND('[1]Eredeti Ft'!Q15,-3)/1000-1</f>
        <v>2535</v>
      </c>
      <c r="R16" s="679">
        <f>ROUND('[1]Eredeti Ft'!R15,-3)/1000</f>
        <v>0</v>
      </c>
      <c r="S16" s="679">
        <f>ROUND('[1]Eredeti Ft'!S15,-3)/1000</f>
        <v>0</v>
      </c>
      <c r="T16" s="679">
        <f>ROUND('[1]Eredeti Ft'!T15,-3)/1000</f>
        <v>0</v>
      </c>
      <c r="U16" s="679">
        <f>ROUND('[1]Eredeti Ft'!U15,-3)/1000</f>
        <v>0</v>
      </c>
      <c r="V16" s="679">
        <f>ROUND('[1]Eredeti Ft'!V15,-3)/1000</f>
        <v>0</v>
      </c>
      <c r="W16" s="722">
        <f t="shared" si="1"/>
        <v>30119</v>
      </c>
      <c r="Y16" s="680">
        <f t="shared" si="2"/>
        <v>30119</v>
      </c>
    </row>
    <row r="17" spans="1:25" ht="12.75">
      <c r="A17" s="721" t="str">
        <f>'[1]Eredeti Ft'!A16</f>
        <v>Vaszary-Jázmin Tagint.</v>
      </c>
      <c r="B17" s="678" t="str">
        <f>'[1]Eredeti Ft'!B16</f>
        <v>Eredeti</v>
      </c>
      <c r="C17" s="679">
        <f>ROUND('[1]Eredeti Ft'!C16,-3)/1000</f>
        <v>8552</v>
      </c>
      <c r="D17" s="679">
        <f>ROUND('[1]Eredeti Ft'!D16,-3)/1000</f>
        <v>7802</v>
      </c>
      <c r="E17" s="679">
        <f>ROUND('[1]Eredeti Ft'!E16,-3)/1000</f>
        <v>2091</v>
      </c>
      <c r="F17" s="679">
        <f>ROUND('[1]Eredeti Ft'!F16,-3)/1000</f>
        <v>0</v>
      </c>
      <c r="G17" s="679">
        <f>ROUND('[1]Eredeti Ft'!G16,-3)/1000</f>
        <v>0</v>
      </c>
      <c r="H17" s="679">
        <f>ROUND('[1]Eredeti Ft'!H16,-3)/1000</f>
        <v>0</v>
      </c>
      <c r="I17" s="679">
        <f>ROUND('[1]Eredeti Ft'!I16,-3)/1000</f>
        <v>0</v>
      </c>
      <c r="J17" s="679">
        <f>ROUND('[1]Eredeti Ft'!J16,-3)/1000</f>
        <v>0</v>
      </c>
      <c r="K17" s="679">
        <f>ROUND('[1]Eredeti Ft'!K16,-3)/1000</f>
        <v>0</v>
      </c>
      <c r="L17" s="679">
        <f>ROUND('[1]Eredeti Ft'!L16,-3)/1000</f>
        <v>0</v>
      </c>
      <c r="M17" s="679">
        <f>ROUND('[1]Eredeti Ft'!M16,-3)/1000</f>
        <v>0</v>
      </c>
      <c r="N17" s="722">
        <f t="shared" si="0"/>
        <v>10643</v>
      </c>
      <c r="O17" s="729">
        <f>ROUND('[1]Eredeti Ft'!O16,-3)/1000</f>
        <v>43110</v>
      </c>
      <c r="P17" s="679">
        <f>ROUND('[1]Eredeti Ft'!P16,-3)/1000+1</f>
        <v>11590</v>
      </c>
      <c r="Q17" s="679">
        <f>ROUND('[1]Eredeti Ft'!Q16,-3)/1000</f>
        <v>27696</v>
      </c>
      <c r="R17" s="679">
        <f>ROUND('[1]Eredeti Ft'!R16,-3)/1000</f>
        <v>17840</v>
      </c>
      <c r="S17" s="679">
        <f>ROUND('[1]Eredeti Ft'!S16,-3)/1000</f>
        <v>1020</v>
      </c>
      <c r="T17" s="679">
        <f>ROUND('[1]Eredeti Ft'!T16,-3)/1000</f>
        <v>0</v>
      </c>
      <c r="U17" s="679">
        <f>ROUND('[1]Eredeti Ft'!U16,-3)/1000</f>
        <v>0</v>
      </c>
      <c r="V17" s="679">
        <f>ROUND('[1]Eredeti Ft'!V16,-3)/1000</f>
        <v>0</v>
      </c>
      <c r="W17" s="722">
        <f t="shared" si="1"/>
        <v>83416</v>
      </c>
      <c r="Y17" s="680">
        <f t="shared" si="2"/>
        <v>83416</v>
      </c>
    </row>
    <row r="18" spans="1:25" ht="12.75">
      <c r="A18" s="721" t="str">
        <f>'[1]Eredeti Ft'!A17</f>
        <v>Vaszary - Tardosi Tagint.</v>
      </c>
      <c r="B18" s="678" t="str">
        <f>'[1]Eredeti Ft'!B17</f>
        <v>Eredeti</v>
      </c>
      <c r="C18" s="679">
        <f>ROUND('[1]Eredeti Ft'!C17,-3)/1000</f>
        <v>2010</v>
      </c>
      <c r="D18" s="679">
        <f>ROUND('[1]Eredeti Ft'!D17,-3)/1000</f>
        <v>1312</v>
      </c>
      <c r="E18" s="679">
        <f>ROUND('[1]Eredeti Ft'!E17,-3)/1000</f>
        <v>502</v>
      </c>
      <c r="F18" s="679">
        <f>ROUND('[1]Eredeti Ft'!F17,-3)/1000</f>
        <v>0</v>
      </c>
      <c r="G18" s="679">
        <f>ROUND('[1]Eredeti Ft'!G17,-3)/1000</f>
        <v>0</v>
      </c>
      <c r="H18" s="679">
        <f>ROUND('[1]Eredeti Ft'!H17,-3)/1000</f>
        <v>0</v>
      </c>
      <c r="I18" s="679">
        <f>ROUND('[1]Eredeti Ft'!I17,-3)/1000</f>
        <v>0</v>
      </c>
      <c r="J18" s="679">
        <f>ROUND('[1]Eredeti Ft'!J17,-3)/1000</f>
        <v>0</v>
      </c>
      <c r="K18" s="679">
        <f>ROUND('[1]Eredeti Ft'!K17,-3)/1000</f>
        <v>0</v>
      </c>
      <c r="L18" s="679">
        <f>ROUND('[1]Eredeti Ft'!L17,-3)/1000</f>
        <v>0</v>
      </c>
      <c r="M18" s="679">
        <f>ROUND('[1]Eredeti Ft'!M17,-3)/1000</f>
        <v>0</v>
      </c>
      <c r="N18" s="722">
        <f t="shared" si="0"/>
        <v>2512</v>
      </c>
      <c r="O18" s="729">
        <f>ROUND('[1]Eredeti Ft'!O17,-3)/1000</f>
        <v>34650</v>
      </c>
      <c r="P18" s="679">
        <f>ROUND('[1]Eredeti Ft'!P17,-3)/1000</f>
        <v>9162</v>
      </c>
      <c r="Q18" s="679">
        <f>ROUND('[1]Eredeti Ft'!Q17,-3)/1000</f>
        <v>12402</v>
      </c>
      <c r="R18" s="679">
        <f>ROUND('[1]Eredeti Ft'!R17,-3)/1000</f>
        <v>4512</v>
      </c>
      <c r="S18" s="679">
        <f>ROUND('[1]Eredeti Ft'!S17,-3)/1000</f>
        <v>660</v>
      </c>
      <c r="T18" s="679">
        <f>ROUND('[1]Eredeti Ft'!T17,-3)/1000</f>
        <v>0</v>
      </c>
      <c r="U18" s="679">
        <f>ROUND('[1]Eredeti Ft'!U17,-3)/1000</f>
        <v>0</v>
      </c>
      <c r="V18" s="679">
        <f>ROUND('[1]Eredeti Ft'!V17,-3)/1000</f>
        <v>0</v>
      </c>
      <c r="W18" s="722">
        <f t="shared" si="1"/>
        <v>56874</v>
      </c>
      <c r="Y18" s="680">
        <f t="shared" si="2"/>
        <v>56874</v>
      </c>
    </row>
    <row r="19" spans="1:25" ht="12.75">
      <c r="A19" s="723" t="str">
        <f>'[1]Eredeti Ft'!A18</f>
        <v>Vaszary összesen</v>
      </c>
      <c r="B19" s="681" t="str">
        <f>'[1]Eredeti Ft'!B18</f>
        <v>Eredeti</v>
      </c>
      <c r="C19" s="682">
        <f aca="true" t="shared" si="3" ref="C19:S19">SUM(C15:C18)</f>
        <v>26481</v>
      </c>
      <c r="D19" s="682">
        <f t="shared" si="3"/>
        <v>21940</v>
      </c>
      <c r="E19" s="682">
        <f t="shared" si="3"/>
        <v>5947</v>
      </c>
      <c r="F19" s="682">
        <f t="shared" si="3"/>
        <v>4200</v>
      </c>
      <c r="G19" s="682">
        <f t="shared" si="3"/>
        <v>1500</v>
      </c>
      <c r="H19" s="682">
        <f t="shared" si="3"/>
        <v>0</v>
      </c>
      <c r="I19" s="682">
        <f t="shared" si="3"/>
        <v>5494</v>
      </c>
      <c r="J19" s="682">
        <f t="shared" si="3"/>
        <v>0</v>
      </c>
      <c r="K19" s="682">
        <f t="shared" si="3"/>
        <v>0</v>
      </c>
      <c r="L19" s="682">
        <f t="shared" si="3"/>
        <v>0</v>
      </c>
      <c r="M19" s="682">
        <f t="shared" si="3"/>
        <v>0</v>
      </c>
      <c r="N19" s="724">
        <f t="shared" si="3"/>
        <v>43622</v>
      </c>
      <c r="O19" s="730">
        <f t="shared" si="3"/>
        <v>258570</v>
      </c>
      <c r="P19" s="682">
        <f t="shared" si="3"/>
        <v>69050</v>
      </c>
      <c r="Q19" s="682">
        <f t="shared" si="3"/>
        <v>111218</v>
      </c>
      <c r="R19" s="682">
        <f t="shared" si="3"/>
        <v>54245</v>
      </c>
      <c r="S19" s="682">
        <f t="shared" si="3"/>
        <v>5880</v>
      </c>
      <c r="T19" s="682"/>
      <c r="U19" s="682">
        <f>SUM(U15:U18)</f>
        <v>0</v>
      </c>
      <c r="V19" s="682">
        <f>SUM(V15:V18)</f>
        <v>2300</v>
      </c>
      <c r="W19" s="724">
        <f>SUM(W15:W18)</f>
        <v>451218</v>
      </c>
      <c r="X19" s="675">
        <f>SUM(X15:X18)</f>
        <v>0</v>
      </c>
      <c r="Y19" s="680"/>
    </row>
    <row r="20" spans="1:25" ht="12.75">
      <c r="A20" s="721" t="str">
        <f>'[1]Eredeti Ft'!A19</f>
        <v>Kőkúti Általános Iskola</v>
      </c>
      <c r="B20" s="678" t="str">
        <f>'[1]Eredeti Ft'!B19</f>
        <v>Eredeti</v>
      </c>
      <c r="C20" s="679">
        <f>ROUND('[1]Eredeti Ft'!C19,-3)/1000</f>
        <v>24704</v>
      </c>
      <c r="D20" s="679">
        <f>ROUND('[1]Eredeti Ft'!D19,-3)/1000</f>
        <v>17634</v>
      </c>
      <c r="E20" s="679">
        <f>ROUND('[1]Eredeti Ft'!E19,-3)/1000</f>
        <v>6008</v>
      </c>
      <c r="F20" s="679">
        <f>ROUND('[1]Eredeti Ft'!F19,-3)/1000</f>
        <v>7900</v>
      </c>
      <c r="G20" s="679">
        <f>ROUND('[1]Eredeti Ft'!G19,-3)/1000</f>
        <v>1679</v>
      </c>
      <c r="H20" s="679">
        <f>ROUND('[1]Eredeti Ft'!H19,-3)/1000</f>
        <v>0</v>
      </c>
      <c r="I20" s="679">
        <f>ROUND('[1]Eredeti Ft'!I19,-3)/1000</f>
        <v>0</v>
      </c>
      <c r="J20" s="679">
        <f>ROUND('[1]Eredeti Ft'!J19,-3)/1000</f>
        <v>0</v>
      </c>
      <c r="K20" s="679">
        <f>ROUND('[1]Eredeti Ft'!K19,-3)/1000</f>
        <v>0</v>
      </c>
      <c r="L20" s="679">
        <f>ROUND('[1]Eredeti Ft'!L19,-3)/1000</f>
        <v>0</v>
      </c>
      <c r="M20" s="679">
        <f>ROUND('[1]Eredeti Ft'!M19,-3)/1000</f>
        <v>0</v>
      </c>
      <c r="N20" s="722">
        <f aca="true" t="shared" si="4" ref="N20:N28">SUM(C20:M20)-D20</f>
        <v>40291</v>
      </c>
      <c r="O20" s="729">
        <f>ROUND('[1]Eredeti Ft'!O19,-3)/1000</f>
        <v>147553</v>
      </c>
      <c r="P20" s="679">
        <f>ROUND('[1]Eredeti Ft'!P19,-3)/1000</f>
        <v>39584</v>
      </c>
      <c r="Q20" s="679">
        <f>ROUND('[1]Eredeti Ft'!Q19,-3)/1000</f>
        <v>115246</v>
      </c>
      <c r="R20" s="679">
        <f>ROUND('[1]Eredeti Ft'!R19,-3)/1000</f>
        <v>39024</v>
      </c>
      <c r="S20" s="679">
        <f>ROUND('[1]Eredeti Ft'!S19,-3)/1000</f>
        <v>3000</v>
      </c>
      <c r="T20" s="679">
        <f>ROUND('[1]Eredeti Ft'!T19,-3)/1000</f>
        <v>7920</v>
      </c>
      <c r="U20" s="679">
        <f>ROUND('[1]Eredeti Ft'!U19,-3)/1000</f>
        <v>0</v>
      </c>
      <c r="V20" s="679">
        <f>ROUND('[1]Eredeti Ft'!V19,-3)/1000</f>
        <v>4000</v>
      </c>
      <c r="W20" s="722">
        <f aca="true" t="shared" si="5" ref="W20:W28">SUM(O20:V20)-R20</f>
        <v>317303</v>
      </c>
      <c r="Y20" s="680">
        <f aca="true" t="shared" si="6" ref="Y20:Y37">SUM(O20:V20)-R20</f>
        <v>317303</v>
      </c>
    </row>
    <row r="21" spans="1:25" ht="25.5">
      <c r="A21" s="721" t="str">
        <f>'[1]Eredeti Ft'!A20</f>
        <v>Kőkúti Általános Iskola - Fazekas U. Tagintézmény</v>
      </c>
      <c r="B21" s="678" t="str">
        <f>'[1]Eredeti Ft'!B20</f>
        <v>Eredeti</v>
      </c>
      <c r="C21" s="679">
        <f>ROUND('[1]Eredeti Ft'!C20,-3)/1000</f>
        <v>4942</v>
      </c>
      <c r="D21" s="679">
        <f>ROUND('[1]Eredeti Ft'!D20,-3)/1000</f>
        <v>4212</v>
      </c>
      <c r="E21" s="679">
        <f>ROUND('[1]Eredeti Ft'!E20,-3)/1000</f>
        <v>1173</v>
      </c>
      <c r="F21" s="679">
        <f>ROUND('[1]Eredeti Ft'!F20,-3)/1000</f>
        <v>0</v>
      </c>
      <c r="G21" s="679">
        <f>ROUND('[1]Eredeti Ft'!G20,-3)/1000</f>
        <v>0</v>
      </c>
      <c r="H21" s="679">
        <f>ROUND('[1]Eredeti Ft'!H20,-3)/1000</f>
        <v>0</v>
      </c>
      <c r="I21" s="679">
        <f>ROUND('[1]Eredeti Ft'!I20,-3)/1000</f>
        <v>0</v>
      </c>
      <c r="J21" s="679">
        <f>ROUND('[1]Eredeti Ft'!J20,-3)/1000</f>
        <v>0</v>
      </c>
      <c r="K21" s="679">
        <f>ROUND('[1]Eredeti Ft'!K20,-3)/1000</f>
        <v>0</v>
      </c>
      <c r="L21" s="679">
        <f>ROUND('[1]Eredeti Ft'!L20,-3)/1000</f>
        <v>0</v>
      </c>
      <c r="M21" s="679">
        <f>ROUND('[1]Eredeti Ft'!M20,-3)/1000</f>
        <v>0</v>
      </c>
      <c r="N21" s="722">
        <f t="shared" si="4"/>
        <v>6115</v>
      </c>
      <c r="O21" s="729">
        <f>ROUND('[1]Eredeti Ft'!O20,-3)/1000</f>
        <v>50863</v>
      </c>
      <c r="P21" s="679">
        <f>ROUND('[1]Eredeti Ft'!P20,-3)/1000</f>
        <v>13605</v>
      </c>
      <c r="Q21" s="679">
        <f>ROUND('[1]Eredeti Ft'!Q20,-3)/1000</f>
        <v>27722</v>
      </c>
      <c r="R21" s="679">
        <f>ROUND('[1]Eredeti Ft'!R20,-3)/1000</f>
        <v>13925</v>
      </c>
      <c r="S21" s="679">
        <f>ROUND('[1]Eredeti Ft'!S20,-3)/1000</f>
        <v>1320</v>
      </c>
      <c r="T21" s="679">
        <f>ROUND('[1]Eredeti Ft'!T20,-3)/1000</f>
        <v>0</v>
      </c>
      <c r="U21" s="679">
        <f>ROUND('[1]Eredeti Ft'!U20,-3)/1000</f>
        <v>0</v>
      </c>
      <c r="V21" s="679">
        <f>ROUND('[1]Eredeti Ft'!V20,-3)/1000</f>
        <v>0</v>
      </c>
      <c r="W21" s="722">
        <f t="shared" si="5"/>
        <v>93510</v>
      </c>
      <c r="Y21" s="680">
        <f t="shared" si="6"/>
        <v>93510</v>
      </c>
    </row>
    <row r="22" spans="1:25" s="683" customFormat="1" ht="12.75">
      <c r="A22" s="723" t="str">
        <f>'[1]Eredeti Ft'!A21</f>
        <v>Kőkúti összesen</v>
      </c>
      <c r="B22" s="681" t="str">
        <f>'[1]Eredeti Ft'!B21</f>
        <v>Eredeti</v>
      </c>
      <c r="C22" s="682">
        <f aca="true" t="shared" si="7" ref="C22:M22">SUM(C20:C21)</f>
        <v>29646</v>
      </c>
      <c r="D22" s="682">
        <f t="shared" si="7"/>
        <v>21846</v>
      </c>
      <c r="E22" s="682">
        <f t="shared" si="7"/>
        <v>7181</v>
      </c>
      <c r="F22" s="682">
        <f t="shared" si="7"/>
        <v>7900</v>
      </c>
      <c r="G22" s="682">
        <f t="shared" si="7"/>
        <v>1679</v>
      </c>
      <c r="H22" s="682">
        <f t="shared" si="7"/>
        <v>0</v>
      </c>
      <c r="I22" s="682">
        <f t="shared" si="7"/>
        <v>0</v>
      </c>
      <c r="J22" s="682">
        <f t="shared" si="7"/>
        <v>0</v>
      </c>
      <c r="K22" s="682">
        <f t="shared" si="7"/>
        <v>0</v>
      </c>
      <c r="L22" s="682">
        <f t="shared" si="7"/>
        <v>0</v>
      </c>
      <c r="M22" s="682">
        <f t="shared" si="7"/>
        <v>0</v>
      </c>
      <c r="N22" s="724">
        <f t="shared" si="4"/>
        <v>46406</v>
      </c>
      <c r="O22" s="730">
        <f aca="true" t="shared" si="8" ref="O22:V22">SUM(O20:O21)</f>
        <v>198416</v>
      </c>
      <c r="P22" s="682">
        <f t="shared" si="8"/>
        <v>53189</v>
      </c>
      <c r="Q22" s="682">
        <f t="shared" si="8"/>
        <v>142968</v>
      </c>
      <c r="R22" s="682">
        <f t="shared" si="8"/>
        <v>52949</v>
      </c>
      <c r="S22" s="682">
        <f t="shared" si="8"/>
        <v>4320</v>
      </c>
      <c r="T22" s="682">
        <f t="shared" si="8"/>
        <v>7920</v>
      </c>
      <c r="U22" s="682">
        <f t="shared" si="8"/>
        <v>0</v>
      </c>
      <c r="V22" s="682">
        <f t="shared" si="8"/>
        <v>4000</v>
      </c>
      <c r="W22" s="724">
        <f t="shared" si="5"/>
        <v>410813</v>
      </c>
      <c r="Y22" s="680">
        <f t="shared" si="6"/>
        <v>410813</v>
      </c>
    </row>
    <row r="23" spans="1:25" ht="12.75">
      <c r="A23" s="721" t="str">
        <f>'[1]Eredeti Ft'!A22</f>
        <v>Zeneiskola</v>
      </c>
      <c r="B23" s="678" t="str">
        <f>'[1]Eredeti Ft'!B22</f>
        <v>Eredeti</v>
      </c>
      <c r="C23" s="679">
        <f>ROUND('[1]Eredeti Ft'!C22,-3)/1000</f>
        <v>4740</v>
      </c>
      <c r="D23" s="679">
        <f>ROUND('[1]Eredeti Ft'!D22,-3)/1000</f>
        <v>0</v>
      </c>
      <c r="E23" s="679">
        <f>ROUND('[1]Eredeti Ft'!E22,-3)/1000</f>
        <v>0</v>
      </c>
      <c r="F23" s="679">
        <f>ROUND('[1]Eredeti Ft'!F22,-3)/1000</f>
        <v>0</v>
      </c>
      <c r="G23" s="679">
        <f>ROUND('[1]Eredeti Ft'!G22,-3)/1000</f>
        <v>0</v>
      </c>
      <c r="H23" s="679">
        <f>ROUND('[1]Eredeti Ft'!H22,-3)/1000</f>
        <v>0</v>
      </c>
      <c r="I23" s="679">
        <f>ROUND('[1]Eredeti Ft'!I22,-3)/1000</f>
        <v>0</v>
      </c>
      <c r="J23" s="679">
        <f>ROUND('[1]Eredeti Ft'!J22,-3)/1000</f>
        <v>0</v>
      </c>
      <c r="K23" s="679">
        <f>ROUND('[1]Eredeti Ft'!K22,-3)/1000</f>
        <v>0</v>
      </c>
      <c r="L23" s="679">
        <f>ROUND('[1]Eredeti Ft'!L22,-3)/1000</f>
        <v>0</v>
      </c>
      <c r="M23" s="679">
        <f>ROUND('[1]Eredeti Ft'!M22,-3)/1000</f>
        <v>0</v>
      </c>
      <c r="N23" s="722">
        <f t="shared" si="4"/>
        <v>4740</v>
      </c>
      <c r="O23" s="729">
        <f>ROUND('[1]Eredeti Ft'!O22,-3)/1000</f>
        <v>52174</v>
      </c>
      <c r="P23" s="679">
        <f>ROUND('[1]Eredeti Ft'!P22,-3)/1000</f>
        <v>13798</v>
      </c>
      <c r="Q23" s="679">
        <f>ROUND('[1]Eredeti Ft'!Q22,-3)/1000</f>
        <v>6751</v>
      </c>
      <c r="R23" s="679">
        <f>ROUND('[1]Eredeti Ft'!R22,-3)/1000</f>
        <v>0</v>
      </c>
      <c r="S23" s="679">
        <f>ROUND('[1]Eredeti Ft'!S22,-3)/1000</f>
        <v>0</v>
      </c>
      <c r="T23" s="679">
        <f>ROUND('[1]Eredeti Ft'!T22,-3)/1000</f>
        <v>0</v>
      </c>
      <c r="U23" s="679">
        <f>ROUND('[1]Eredeti Ft'!U22,-3)/1000</f>
        <v>0</v>
      </c>
      <c r="V23" s="679">
        <f>ROUND('[1]Eredeti Ft'!V22,-3)/1000</f>
        <v>0</v>
      </c>
      <c r="W23" s="722">
        <f t="shared" si="5"/>
        <v>72723</v>
      </c>
      <c r="Y23" s="680">
        <f t="shared" si="6"/>
        <v>72723</v>
      </c>
    </row>
    <row r="24" spans="1:25" ht="12.75">
      <c r="A24" s="721" t="str">
        <f>'[1]Eredeti Ft'!A23</f>
        <v>Könyvtár</v>
      </c>
      <c r="B24" s="678" t="str">
        <f>'[1]Eredeti Ft'!B23</f>
        <v>Eredeti</v>
      </c>
      <c r="C24" s="679">
        <f>ROUND('[1]Eredeti Ft'!C23,-3)/1000</f>
        <v>1230</v>
      </c>
      <c r="D24" s="679">
        <f>ROUND('[1]Eredeti Ft'!D23,-3)/1000</f>
        <v>0</v>
      </c>
      <c r="E24" s="679">
        <f>ROUND('[1]Eredeti Ft'!E23,-3)/1000</f>
        <v>308</v>
      </c>
      <c r="F24" s="679">
        <f>ROUND('[1]Eredeti Ft'!F23,-3)/1000</f>
        <v>22000</v>
      </c>
      <c r="G24" s="679">
        <f>ROUND('[1]Eredeti Ft'!G23,-3)/1000</f>
        <v>5876</v>
      </c>
      <c r="H24" s="679">
        <f>ROUND('[1]Eredeti Ft'!H23,-3)/1000</f>
        <v>0</v>
      </c>
      <c r="I24" s="679">
        <f>ROUND('[1]Eredeti Ft'!I23,-3)/1000</f>
        <v>9000</v>
      </c>
      <c r="J24" s="679">
        <f>ROUND('[1]Eredeti Ft'!J23,-3)/1000</f>
        <v>0</v>
      </c>
      <c r="K24" s="679">
        <f>ROUND('[1]Eredeti Ft'!K23,-3)/1000</f>
        <v>0</v>
      </c>
      <c r="L24" s="679">
        <f>ROUND('[1]Eredeti Ft'!L23,-3)/1000</f>
        <v>0</v>
      </c>
      <c r="M24" s="679">
        <f>ROUND('[1]Eredeti Ft'!M23,-3)/1000</f>
        <v>0</v>
      </c>
      <c r="N24" s="722">
        <f t="shared" si="4"/>
        <v>38414</v>
      </c>
      <c r="O24" s="729">
        <f>ROUND('[1]Eredeti Ft'!O23,-3)/1000</f>
        <v>24661</v>
      </c>
      <c r="P24" s="679">
        <f>ROUND('[1]Eredeti Ft'!P23,-3)/1000</f>
        <v>6581</v>
      </c>
      <c r="Q24" s="679">
        <f>ROUND('[1]Eredeti Ft'!Q23,-3)/1000</f>
        <v>45046</v>
      </c>
      <c r="R24" s="679">
        <f>ROUND('[1]Eredeti Ft'!R23,-3)/1000</f>
        <v>0</v>
      </c>
      <c r="S24" s="679">
        <f>ROUND('[1]Eredeti Ft'!S23,-3)/1000</f>
        <v>0</v>
      </c>
      <c r="T24" s="679">
        <f>ROUND('[1]Eredeti Ft'!T23,-3)/1000</f>
        <v>2313</v>
      </c>
      <c r="U24" s="679">
        <f>ROUND('[1]Eredeti Ft'!U23,-3)/1000</f>
        <v>0</v>
      </c>
      <c r="V24" s="679">
        <f>ROUND('[1]Eredeti Ft'!V23,-3)/1000</f>
        <v>0</v>
      </c>
      <c r="W24" s="722">
        <f t="shared" si="5"/>
        <v>78601</v>
      </c>
      <c r="Y24" s="680">
        <f t="shared" si="6"/>
        <v>78601</v>
      </c>
    </row>
    <row r="25" spans="1:25" ht="25.5">
      <c r="A25" s="721" t="str">
        <f>'[1]Eredeti Ft'!A24</f>
        <v>SZAI Jelzőrendszeres házi segítségnyújtás</v>
      </c>
      <c r="B25" s="678" t="str">
        <f>'[1]Eredeti Ft'!B24</f>
        <v>Eredeti</v>
      </c>
      <c r="C25" s="679">
        <f>ROUND('[1]Eredeti Ft'!C24,-3)/1000</f>
        <v>480</v>
      </c>
      <c r="D25" s="679">
        <f>ROUND('[1]Eredeti Ft'!D24,-3)/1000</f>
        <v>0</v>
      </c>
      <c r="E25" s="679">
        <f>ROUND('[1]Eredeti Ft'!E24,-3)/1000</f>
        <v>120</v>
      </c>
      <c r="F25" s="679">
        <f>ROUND('[1]Eredeti Ft'!F24,-3)/1000</f>
        <v>0</v>
      </c>
      <c r="G25" s="679">
        <f>ROUND('[1]Eredeti Ft'!G24,-3)/1000</f>
        <v>0</v>
      </c>
      <c r="H25" s="679">
        <f>ROUND('[1]Eredeti Ft'!H24,-3)/1000</f>
        <v>0</v>
      </c>
      <c r="I25" s="679">
        <f>ROUND('[1]Eredeti Ft'!I24,-3)/1000</f>
        <v>0</v>
      </c>
      <c r="J25" s="679">
        <f>ROUND('[1]Eredeti Ft'!J24,-3)/1000</f>
        <v>0</v>
      </c>
      <c r="K25" s="679">
        <f>ROUND('[1]Eredeti Ft'!K24,-3)/1000</f>
        <v>0</v>
      </c>
      <c r="L25" s="679">
        <f>ROUND('[1]Eredeti Ft'!L24,-3)/1000</f>
        <v>0</v>
      </c>
      <c r="M25" s="679">
        <f>ROUND('[1]Eredeti Ft'!M24,-3)/1000</f>
        <v>0</v>
      </c>
      <c r="N25" s="722">
        <f t="shared" si="4"/>
        <v>600</v>
      </c>
      <c r="O25" s="729">
        <f>ROUND('[1]Eredeti Ft'!O24,-3)/1000</f>
        <v>2110</v>
      </c>
      <c r="P25" s="679">
        <f>ROUND('[1]Eredeti Ft'!P24,-3)/1000</f>
        <v>570</v>
      </c>
      <c r="Q25" s="679">
        <f>ROUND('[1]Eredeti Ft'!Q24,-3)/1000</f>
        <v>462</v>
      </c>
      <c r="R25" s="679">
        <f>ROUND('[1]Eredeti Ft'!R24,-3)/1000</f>
        <v>0</v>
      </c>
      <c r="S25" s="679">
        <f>ROUND('[1]Eredeti Ft'!S24,-3)/1000</f>
        <v>0</v>
      </c>
      <c r="T25" s="679">
        <f>ROUND('[1]Eredeti Ft'!T24,-3)/1000</f>
        <v>0</v>
      </c>
      <c r="U25" s="679">
        <f>ROUND('[1]Eredeti Ft'!U24,-3)/1000</f>
        <v>0</v>
      </c>
      <c r="V25" s="679">
        <f>ROUND('[1]Eredeti Ft'!V24,-3)/1000</f>
        <v>0</v>
      </c>
      <c r="W25" s="722">
        <f t="shared" si="5"/>
        <v>3142</v>
      </c>
      <c r="Y25" s="680">
        <f t="shared" si="6"/>
        <v>3142</v>
      </c>
    </row>
    <row r="26" spans="1:25" ht="12.75">
      <c r="A26" s="721" t="str">
        <f>'[1]Eredeti Ft'!A25</f>
        <v>SZAI Támogató szolgálat</v>
      </c>
      <c r="B26" s="678" t="str">
        <f>'[1]Eredeti Ft'!B25</f>
        <v>Eredeti</v>
      </c>
      <c r="C26" s="679">
        <f>ROUND('[1]Eredeti Ft'!C25,-3)/1000</f>
        <v>0</v>
      </c>
      <c r="D26" s="679">
        <f>ROUND('[1]Eredeti Ft'!D25,-3)/1000</f>
        <v>0</v>
      </c>
      <c r="E26" s="679">
        <f>ROUND('[1]Eredeti Ft'!E25,-3)/1000</f>
        <v>0</v>
      </c>
      <c r="F26" s="679">
        <f>ROUND('[1]Eredeti Ft'!F25,-3)/1000</f>
        <v>0</v>
      </c>
      <c r="G26" s="679">
        <f>ROUND('[1]Eredeti Ft'!G25,-3)/1000</f>
        <v>0</v>
      </c>
      <c r="H26" s="679">
        <f>ROUND('[1]Eredeti Ft'!H25,-3)/1000</f>
        <v>0</v>
      </c>
      <c r="I26" s="679">
        <f>ROUND('[1]Eredeti Ft'!I25,-3)/1000</f>
        <v>0</v>
      </c>
      <c r="J26" s="679">
        <f>ROUND('[1]Eredeti Ft'!J25,-3)/1000</f>
        <v>0</v>
      </c>
      <c r="K26" s="679">
        <f>ROUND('[1]Eredeti Ft'!K25,-3)/1000</f>
        <v>0</v>
      </c>
      <c r="L26" s="679">
        <f>ROUND('[1]Eredeti Ft'!L25,-3)/1000</f>
        <v>0</v>
      </c>
      <c r="M26" s="679">
        <f>ROUND('[1]Eredeti Ft'!M25,-3)/1000</f>
        <v>0</v>
      </c>
      <c r="N26" s="722">
        <f t="shared" si="4"/>
        <v>0</v>
      </c>
      <c r="O26" s="729">
        <f>ROUND('[1]Eredeti Ft'!O25,-3)/1000</f>
        <v>9807</v>
      </c>
      <c r="P26" s="679">
        <f>ROUND('[1]Eredeti Ft'!P25,-3)/1000</f>
        <v>2562</v>
      </c>
      <c r="Q26" s="679">
        <f>ROUND('[1]Eredeti Ft'!Q25,-3)/1000</f>
        <v>4514</v>
      </c>
      <c r="R26" s="679">
        <f>ROUND('[1]Eredeti Ft'!R25,-3)/1000</f>
        <v>0</v>
      </c>
      <c r="S26" s="679">
        <f>ROUND('[1]Eredeti Ft'!S25,-3)/1000</f>
        <v>0</v>
      </c>
      <c r="T26" s="679">
        <f>ROUND('[1]Eredeti Ft'!T25,-3)/1000</f>
        <v>0</v>
      </c>
      <c r="U26" s="679">
        <f>ROUND('[1]Eredeti Ft'!U25,-3)/1000</f>
        <v>0</v>
      </c>
      <c r="V26" s="679">
        <f>ROUND('[1]Eredeti Ft'!V25,-3)/1000</f>
        <v>0</v>
      </c>
      <c r="W26" s="722">
        <f t="shared" si="5"/>
        <v>16883</v>
      </c>
      <c r="Y26" s="680">
        <f t="shared" si="6"/>
        <v>16883</v>
      </c>
    </row>
    <row r="27" spans="1:25" ht="12.75">
      <c r="A27" s="721" t="str">
        <f>'[1]Eredeti Ft'!A26</f>
        <v>SZAI Közösségi</v>
      </c>
      <c r="B27" s="678" t="str">
        <f>'[1]Eredeti Ft'!B26</f>
        <v>Eredeti</v>
      </c>
      <c r="C27" s="679">
        <f>ROUND('[1]Eredeti Ft'!C26,-3)/1000</f>
        <v>0</v>
      </c>
      <c r="D27" s="679">
        <f>ROUND('[1]Eredeti Ft'!D26,-3)/1000</f>
        <v>0</v>
      </c>
      <c r="E27" s="679">
        <f>ROUND('[1]Eredeti Ft'!E26,-3)/1000</f>
        <v>0</v>
      </c>
      <c r="F27" s="679">
        <f>ROUND('[1]Eredeti Ft'!F26,-3)/1000</f>
        <v>0</v>
      </c>
      <c r="G27" s="679">
        <f>ROUND('[1]Eredeti Ft'!G26,-3)/1000</f>
        <v>0</v>
      </c>
      <c r="H27" s="679">
        <f>ROUND('[1]Eredeti Ft'!H26,-3)/1000</f>
        <v>0</v>
      </c>
      <c r="I27" s="679">
        <f>ROUND('[1]Eredeti Ft'!I26,-3)/1000</f>
        <v>0</v>
      </c>
      <c r="J27" s="679">
        <f>ROUND('[1]Eredeti Ft'!J26,-3)/1000</f>
        <v>0</v>
      </c>
      <c r="K27" s="679">
        <f>ROUND('[1]Eredeti Ft'!K26,-3)/1000</f>
        <v>0</v>
      </c>
      <c r="L27" s="679">
        <f>ROUND('[1]Eredeti Ft'!L26,-3)/1000</f>
        <v>0</v>
      </c>
      <c r="M27" s="679">
        <f>ROUND('[1]Eredeti Ft'!M26,-3)/1000</f>
        <v>0</v>
      </c>
      <c r="N27" s="722">
        <f t="shared" si="4"/>
        <v>0</v>
      </c>
      <c r="O27" s="729">
        <f>ROUND('[1]Eredeti Ft'!O26,-3)/1000</f>
        <v>4957</v>
      </c>
      <c r="P27" s="679">
        <f>ROUND('[1]Eredeti Ft'!P26,-3)/1000</f>
        <v>1311</v>
      </c>
      <c r="Q27" s="679">
        <f>ROUND('[1]Eredeti Ft'!Q26,-3)/1000</f>
        <v>1947</v>
      </c>
      <c r="R27" s="679">
        <f>ROUND('[1]Eredeti Ft'!R26,-3)/1000</f>
        <v>0</v>
      </c>
      <c r="S27" s="679">
        <f>ROUND('[1]Eredeti Ft'!S26,-3)/1000</f>
        <v>0</v>
      </c>
      <c r="T27" s="679">
        <f>ROUND('[1]Eredeti Ft'!T26,-3)/1000</f>
        <v>0</v>
      </c>
      <c r="U27" s="679">
        <f>ROUND('[1]Eredeti Ft'!U26,-3)/1000</f>
        <v>0</v>
      </c>
      <c r="V27" s="679">
        <f>ROUND('[1]Eredeti Ft'!V26,-3)/1000</f>
        <v>0</v>
      </c>
      <c r="W27" s="722">
        <f t="shared" si="5"/>
        <v>8215</v>
      </c>
      <c r="Y27" s="680">
        <f t="shared" si="6"/>
        <v>8215</v>
      </c>
    </row>
    <row r="28" spans="1:25" ht="51">
      <c r="A28" s="721" t="str">
        <f>'[1]Eredeti Ft'!A27</f>
        <v>SZAI nappali, családsegítő és gyermekjóléti, szociális étkezés, éjjeli menedékhely, házigondozás</v>
      </c>
      <c r="B28" s="678" t="str">
        <f>'[1]Eredeti Ft'!B27</f>
        <v>Eredeti</v>
      </c>
      <c r="C28" s="679">
        <f>ROUND('[1]Eredeti Ft'!C27,-3)/1000+1</f>
        <v>11473</v>
      </c>
      <c r="D28" s="679">
        <f>ROUND('[1]Eredeti Ft'!D27,-3)/1000</f>
        <v>0</v>
      </c>
      <c r="E28" s="679">
        <f>ROUND('[1]Eredeti Ft'!E27,-3)/1000-1</f>
        <v>81</v>
      </c>
      <c r="F28" s="679">
        <f>ROUND('[1]Eredeti Ft'!F27,-3)/1000</f>
        <v>0</v>
      </c>
      <c r="G28" s="679">
        <f>ROUND('[1]Eredeti Ft'!G27,-3)/1000</f>
        <v>0</v>
      </c>
      <c r="H28" s="679">
        <f>ROUND('[1]Eredeti Ft'!H27,-3)/1000</f>
        <v>0</v>
      </c>
      <c r="I28" s="679">
        <f>ROUND('[1]Eredeti Ft'!I27,-3)/1000</f>
        <v>21996</v>
      </c>
      <c r="J28" s="679">
        <f>ROUND('[1]Eredeti Ft'!J27,-3)/1000</f>
        <v>0</v>
      </c>
      <c r="K28" s="679">
        <f>ROUND('[1]Eredeti Ft'!K27,-3)/1000</f>
        <v>0</v>
      </c>
      <c r="L28" s="679">
        <f>ROUND('[1]Eredeti Ft'!L27,-3)/1000</f>
        <v>0</v>
      </c>
      <c r="M28" s="679">
        <f>ROUND('[1]Eredeti Ft'!M27,-3)/1000</f>
        <v>0</v>
      </c>
      <c r="N28" s="722">
        <f t="shared" si="4"/>
        <v>33550</v>
      </c>
      <c r="O28" s="729">
        <f>ROUND('[1]Eredeti Ft'!O27,-3)/1000</f>
        <v>80758</v>
      </c>
      <c r="P28" s="679">
        <f>ROUND('[1]Eredeti Ft'!P27,-3)/1000</f>
        <v>20852</v>
      </c>
      <c r="Q28" s="679">
        <f>ROUND('[1]Eredeti Ft'!Q27,-3)/1000</f>
        <v>26124</v>
      </c>
      <c r="R28" s="679">
        <f>ROUND('[1]Eredeti Ft'!R27,-3)/1000</f>
        <v>9896</v>
      </c>
      <c r="S28" s="679">
        <f>ROUND('[1]Eredeti Ft'!S27,-3)/1000</f>
        <v>0</v>
      </c>
      <c r="T28" s="679">
        <f>ROUND('[1]Eredeti Ft'!T27,-3)/1000</f>
        <v>0</v>
      </c>
      <c r="U28" s="679">
        <f>ROUND('[1]Eredeti Ft'!U27,-3)/1000</f>
        <v>0</v>
      </c>
      <c r="V28" s="679">
        <f>ROUND('[1]Eredeti Ft'!V27,-3)/1000</f>
        <v>0</v>
      </c>
      <c r="W28" s="722">
        <f t="shared" si="5"/>
        <v>127734</v>
      </c>
      <c r="Y28" s="680">
        <f t="shared" si="6"/>
        <v>127734</v>
      </c>
    </row>
    <row r="29" spans="1:25" s="684" customFormat="1" ht="12.75">
      <c r="A29" s="723" t="str">
        <f>'[1]Eredeti Ft'!A28</f>
        <v>Szociális Alapellátó Intézmény</v>
      </c>
      <c r="B29" s="681" t="str">
        <f>'[1]Eredeti Ft'!B28</f>
        <v>Eredeti</v>
      </c>
      <c r="C29" s="682">
        <f aca="true" t="shared" si="9" ref="C29:W29">SUM(C25:C28)</f>
        <v>11953</v>
      </c>
      <c r="D29" s="682">
        <f t="shared" si="9"/>
        <v>0</v>
      </c>
      <c r="E29" s="682">
        <f t="shared" si="9"/>
        <v>201</v>
      </c>
      <c r="F29" s="682">
        <f t="shared" si="9"/>
        <v>0</v>
      </c>
      <c r="G29" s="682">
        <f t="shared" si="9"/>
        <v>0</v>
      </c>
      <c r="H29" s="682">
        <f t="shared" si="9"/>
        <v>0</v>
      </c>
      <c r="I29" s="682">
        <f t="shared" si="9"/>
        <v>21996</v>
      </c>
      <c r="J29" s="682">
        <f t="shared" si="9"/>
        <v>0</v>
      </c>
      <c r="K29" s="682">
        <f t="shared" si="9"/>
        <v>0</v>
      </c>
      <c r="L29" s="682">
        <f t="shared" si="9"/>
        <v>0</v>
      </c>
      <c r="M29" s="682">
        <f t="shared" si="9"/>
        <v>0</v>
      </c>
      <c r="N29" s="724">
        <f t="shared" si="9"/>
        <v>34150</v>
      </c>
      <c r="O29" s="730">
        <f t="shared" si="9"/>
        <v>97632</v>
      </c>
      <c r="P29" s="682">
        <f t="shared" si="9"/>
        <v>25295</v>
      </c>
      <c r="Q29" s="682">
        <f t="shared" si="9"/>
        <v>33047</v>
      </c>
      <c r="R29" s="682">
        <f t="shared" si="9"/>
        <v>9896</v>
      </c>
      <c r="S29" s="682">
        <f t="shared" si="9"/>
        <v>0</v>
      </c>
      <c r="T29" s="682">
        <f t="shared" si="9"/>
        <v>0</v>
      </c>
      <c r="U29" s="682">
        <f t="shared" si="9"/>
        <v>0</v>
      </c>
      <c r="V29" s="682">
        <f t="shared" si="9"/>
        <v>0</v>
      </c>
      <c r="W29" s="724">
        <f t="shared" si="9"/>
        <v>155974</v>
      </c>
      <c r="Y29" s="685">
        <f t="shared" si="6"/>
        <v>155974</v>
      </c>
    </row>
    <row r="30" spans="1:25" ht="25.5">
      <c r="A30" s="721" t="str">
        <f>'[1]Eredeti Ft'!A29</f>
        <v>Intézmények Gazdasági Hivatala</v>
      </c>
      <c r="B30" s="678" t="str">
        <f>'[1]Eredeti Ft'!B29</f>
        <v>Eredeti</v>
      </c>
      <c r="C30" s="679">
        <f>ROUND('[1]Eredeti Ft'!C29,-3)/1000</f>
        <v>666</v>
      </c>
      <c r="D30" s="679">
        <f>ROUND('[1]Eredeti Ft'!D29,-3)/1000</f>
        <v>0</v>
      </c>
      <c r="E30" s="679">
        <f>ROUND('[1]Eredeti Ft'!E29,-3)/1000</f>
        <v>5731</v>
      </c>
      <c r="F30" s="679">
        <f>ROUND('[1]Eredeti Ft'!F29,-3)/1000</f>
        <v>0</v>
      </c>
      <c r="G30" s="679">
        <f>ROUND('[1]Eredeti Ft'!G29,-3)/1000</f>
        <v>0</v>
      </c>
      <c r="H30" s="679">
        <f>ROUND('[1]Eredeti Ft'!H29,-3)/1000</f>
        <v>0</v>
      </c>
      <c r="I30" s="679">
        <f>ROUND('[1]Eredeti Ft'!I29,-3)/1000</f>
        <v>0</v>
      </c>
      <c r="J30" s="679">
        <f>ROUND('[1]Eredeti Ft'!J29,-3)/1000</f>
        <v>0</v>
      </c>
      <c r="K30" s="679">
        <f>ROUND('[1]Eredeti Ft'!K29,-3)/1000</f>
        <v>0</v>
      </c>
      <c r="L30" s="679">
        <f>ROUND('[1]Eredeti Ft'!L29,-3)/1000</f>
        <v>0</v>
      </c>
      <c r="M30" s="679">
        <f>ROUND('[1]Eredeti Ft'!M29,-3)/1000</f>
        <v>0</v>
      </c>
      <c r="N30" s="722">
        <f>SUM(C30:M30)-D30</f>
        <v>6397</v>
      </c>
      <c r="O30" s="729">
        <f>ROUND('[1]Eredeti Ft'!O29,-3)/1000</f>
        <v>17857</v>
      </c>
      <c r="P30" s="679">
        <f>ROUND('[1]Eredeti Ft'!P29,-3)/1000</f>
        <v>4760</v>
      </c>
      <c r="Q30" s="679">
        <f>ROUND('[1]Eredeti Ft'!Q29,-3)/1000</f>
        <v>7863</v>
      </c>
      <c r="R30" s="679">
        <f>ROUND('[1]Eredeti Ft'!R29,-3)/1000</f>
        <v>0</v>
      </c>
      <c r="S30" s="679">
        <f>ROUND('[1]Eredeti Ft'!S29,-3)/1000</f>
        <v>0</v>
      </c>
      <c r="T30" s="679">
        <f>ROUND('[1]Eredeti Ft'!T29,-3)/1000</f>
        <v>0</v>
      </c>
      <c r="U30" s="679">
        <f>ROUND('[1]Eredeti Ft'!U29,-3)/1000</f>
        <v>0</v>
      </c>
      <c r="V30" s="679">
        <f>ROUND('[1]Eredeti Ft'!V29,-3)/1000</f>
        <v>0</v>
      </c>
      <c r="W30" s="722">
        <f>SUM(O30:V30)-R30</f>
        <v>30480</v>
      </c>
      <c r="Y30" s="680">
        <f t="shared" si="6"/>
        <v>30480</v>
      </c>
    </row>
    <row r="31" spans="1:25" s="683" customFormat="1" ht="27" customHeight="1" thickBot="1">
      <c r="A31" s="725" t="str">
        <f>'[1]Eredeti Ft'!A30</f>
        <v>Kvi. alcímek és szakf. Összesen:</v>
      </c>
      <c r="B31" s="726" t="str">
        <f>'[1]Eredeti Ft'!B30</f>
        <v>Eredeti</v>
      </c>
      <c r="C31" s="727">
        <f aca="true" t="shared" si="10" ref="C31:W31">SUM(C5:C30)-C19-C22-C29</f>
        <v>111304</v>
      </c>
      <c r="D31" s="727">
        <f t="shared" si="10"/>
        <v>70835</v>
      </c>
      <c r="E31" s="727">
        <f t="shared" si="10"/>
        <v>28515</v>
      </c>
      <c r="F31" s="727">
        <f t="shared" si="10"/>
        <v>34100</v>
      </c>
      <c r="G31" s="727">
        <f t="shared" si="10"/>
        <v>9055</v>
      </c>
      <c r="H31" s="727">
        <f t="shared" si="10"/>
        <v>0</v>
      </c>
      <c r="I31" s="727">
        <f t="shared" si="10"/>
        <v>36490</v>
      </c>
      <c r="J31" s="727">
        <f t="shared" si="10"/>
        <v>0</v>
      </c>
      <c r="K31" s="727">
        <f t="shared" si="10"/>
        <v>0</v>
      </c>
      <c r="L31" s="727">
        <f t="shared" si="10"/>
        <v>0</v>
      </c>
      <c r="M31" s="727">
        <f t="shared" si="10"/>
        <v>0</v>
      </c>
      <c r="N31" s="728">
        <f t="shared" si="10"/>
        <v>219464</v>
      </c>
      <c r="O31" s="731">
        <f t="shared" si="10"/>
        <v>891576</v>
      </c>
      <c r="P31" s="727">
        <f t="shared" si="10"/>
        <v>237043</v>
      </c>
      <c r="Q31" s="727">
        <f t="shared" si="10"/>
        <v>447353</v>
      </c>
      <c r="R31" s="727">
        <f t="shared" si="10"/>
        <v>153423</v>
      </c>
      <c r="S31" s="727">
        <f t="shared" si="10"/>
        <v>10200</v>
      </c>
      <c r="T31" s="727">
        <f t="shared" si="10"/>
        <v>14433</v>
      </c>
      <c r="U31" s="727">
        <f t="shared" si="10"/>
        <v>0</v>
      </c>
      <c r="V31" s="727">
        <f t="shared" si="10"/>
        <v>15800</v>
      </c>
      <c r="W31" s="728">
        <f t="shared" si="10"/>
        <v>1616405</v>
      </c>
      <c r="Y31" s="680">
        <f t="shared" si="6"/>
        <v>1616405</v>
      </c>
    </row>
    <row r="32" ht="13.5" thickTop="1">
      <c r="Y32" s="680">
        <f t="shared" si="6"/>
        <v>0</v>
      </c>
    </row>
    <row r="33" spans="1:25" ht="12.75" hidden="1">
      <c r="A33" s="675" t="s">
        <v>595</v>
      </c>
      <c r="C33" s="680">
        <f aca="true" t="shared" si="11" ref="C33:W33">SUM(C5:C30)-C19-C22-C29</f>
        <v>111304</v>
      </c>
      <c r="D33" s="680">
        <f t="shared" si="11"/>
        <v>70835</v>
      </c>
      <c r="E33" s="680">
        <f t="shared" si="11"/>
        <v>28515</v>
      </c>
      <c r="F33" s="680">
        <f t="shared" si="11"/>
        <v>34100</v>
      </c>
      <c r="G33" s="680">
        <f t="shared" si="11"/>
        <v>9055</v>
      </c>
      <c r="H33" s="680">
        <f t="shared" si="11"/>
        <v>0</v>
      </c>
      <c r="I33" s="680">
        <f t="shared" si="11"/>
        <v>36490</v>
      </c>
      <c r="J33" s="680">
        <f t="shared" si="11"/>
        <v>0</v>
      </c>
      <c r="K33" s="680">
        <f t="shared" si="11"/>
        <v>0</v>
      </c>
      <c r="L33" s="680">
        <f t="shared" si="11"/>
        <v>0</v>
      </c>
      <c r="M33" s="680">
        <f t="shared" si="11"/>
        <v>0</v>
      </c>
      <c r="N33" s="680">
        <f t="shared" si="11"/>
        <v>219464</v>
      </c>
      <c r="O33" s="680">
        <f t="shared" si="11"/>
        <v>891576</v>
      </c>
      <c r="P33" s="680">
        <f t="shared" si="11"/>
        <v>237043</v>
      </c>
      <c r="Q33" s="680">
        <f t="shared" si="11"/>
        <v>447353</v>
      </c>
      <c r="R33" s="686">
        <f t="shared" si="11"/>
        <v>153423</v>
      </c>
      <c r="S33" s="680">
        <f t="shared" si="11"/>
        <v>10200</v>
      </c>
      <c r="T33" s="680">
        <f t="shared" si="11"/>
        <v>14433</v>
      </c>
      <c r="U33" s="680">
        <f t="shared" si="11"/>
        <v>0</v>
      </c>
      <c r="V33" s="680">
        <f t="shared" si="11"/>
        <v>15800</v>
      </c>
      <c r="W33" s="680">
        <f t="shared" si="11"/>
        <v>1616405</v>
      </c>
      <c r="Y33" s="680">
        <f t="shared" si="6"/>
        <v>1616405</v>
      </c>
    </row>
    <row r="34" ht="12.75" hidden="1">
      <c r="Y34" s="680">
        <f t="shared" si="6"/>
        <v>0</v>
      </c>
    </row>
    <row r="35" spans="3:25" ht="12.75" hidden="1">
      <c r="C35" s="675">
        <v>1</v>
      </c>
      <c r="O35" s="675">
        <v>0</v>
      </c>
      <c r="P35" s="675">
        <v>0</v>
      </c>
      <c r="Q35" s="675">
        <v>460341</v>
      </c>
      <c r="W35" s="675">
        <v>0</v>
      </c>
      <c r="Y35" s="680">
        <f t="shared" si="6"/>
        <v>460341</v>
      </c>
    </row>
    <row r="36" ht="12.75" hidden="1">
      <c r="Y36" s="680">
        <f t="shared" si="6"/>
        <v>0</v>
      </c>
    </row>
    <row r="37" spans="3:25" ht="12.75" hidden="1">
      <c r="C37" s="675">
        <v>112739</v>
      </c>
      <c r="E37" s="675">
        <v>28349</v>
      </c>
      <c r="G37" s="675">
        <v>53839</v>
      </c>
      <c r="N37" s="675">
        <v>194928</v>
      </c>
      <c r="O37" s="675">
        <v>913969</v>
      </c>
      <c r="P37" s="675">
        <v>237285</v>
      </c>
      <c r="Q37" s="675">
        <v>482813</v>
      </c>
      <c r="S37" s="675">
        <v>10200</v>
      </c>
      <c r="T37" s="675">
        <v>4433</v>
      </c>
      <c r="U37" s="675">
        <v>1300</v>
      </c>
      <c r="V37" s="675">
        <v>46500</v>
      </c>
      <c r="W37" s="675">
        <v>1696500</v>
      </c>
      <c r="Y37" s="680">
        <f t="shared" si="6"/>
        <v>1696500</v>
      </c>
    </row>
    <row r="38" spans="15:23" ht="12.75" hidden="1">
      <c r="O38" s="680">
        <f>O37-O31</f>
        <v>22393</v>
      </c>
      <c r="P38" s="680">
        <f>P37-P31</f>
        <v>242</v>
      </c>
      <c r="Q38" s="680">
        <f>Q37-Q31</f>
        <v>35460</v>
      </c>
      <c r="R38" s="680"/>
      <c r="S38" s="680">
        <f>S37-S31</f>
        <v>0</v>
      </c>
      <c r="T38" s="680">
        <f>T37-T31</f>
        <v>-10000</v>
      </c>
      <c r="U38" s="680">
        <f>U37-U31</f>
        <v>1300</v>
      </c>
      <c r="V38" s="680">
        <f>V37-V31</f>
        <v>30700</v>
      </c>
      <c r="W38" s="680">
        <f>W37-W31</f>
        <v>80095</v>
      </c>
    </row>
    <row r="39" ht="12.75" hidden="1"/>
  </sheetData>
  <mergeCells count="15">
    <mergeCell ref="O1:W1"/>
    <mergeCell ref="G3:H3"/>
    <mergeCell ref="I3:J3"/>
    <mergeCell ref="L3:M3"/>
    <mergeCell ref="O3:S3"/>
    <mergeCell ref="U3:V3"/>
    <mergeCell ref="W3:W4"/>
    <mergeCell ref="K3:K4"/>
    <mergeCell ref="N3:N4"/>
    <mergeCell ref="A1:N1"/>
    <mergeCell ref="F3:F4"/>
    <mergeCell ref="A3:B4"/>
    <mergeCell ref="C3:C4"/>
    <mergeCell ref="D3:D4"/>
    <mergeCell ref="E3:E4"/>
  </mergeCells>
  <printOptions horizontalCentered="1"/>
  <pageMargins left="0.2362204724409449" right="0.35433070866141736" top="0.52" bottom="0.3937007874015748" header="0.26" footer="0.37"/>
  <pageSetup horizontalDpi="600" verticalDpi="600" orientation="landscape" paperSize="9" r:id="rId1"/>
  <headerFooter alignWithMargins="0">
    <oddHeader>&amp;L&amp;8 5. melléklet a 2/2011.(II.25.) önkormányzati rendelethez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41"/>
  <sheetViews>
    <sheetView zoomScaleSheetLayoutView="100" workbookViewId="0" topLeftCell="A1">
      <selection activeCell="A15" sqref="A15"/>
    </sheetView>
  </sheetViews>
  <sheetFormatPr defaultColWidth="9.00390625" defaultRowHeight="12.75"/>
  <cols>
    <col min="1" max="1" width="85.00390625" style="442" customWidth="1"/>
    <col min="2" max="2" width="9.125" style="443" customWidth="1"/>
    <col min="3" max="16384" width="9.125" style="442" customWidth="1"/>
  </cols>
  <sheetData>
    <row r="1" spans="1:2" ht="12.75">
      <c r="A1" s="440"/>
      <c r="B1" s="441"/>
    </row>
    <row r="2" spans="1:2" ht="12.75">
      <c r="A2" s="440"/>
      <c r="B2" s="441"/>
    </row>
    <row r="3" spans="1:3" ht="15.75">
      <c r="A3" s="903" t="s">
        <v>380</v>
      </c>
      <c r="B3" s="903"/>
      <c r="C3" s="869"/>
    </row>
    <row r="4" spans="1:3" ht="15.75">
      <c r="A4" s="904" t="s">
        <v>494</v>
      </c>
      <c r="B4" s="904"/>
      <c r="C4" s="869"/>
    </row>
    <row r="5" ht="13.5" thickBot="1"/>
    <row r="6" spans="1:3" ht="13.5" thickTop="1">
      <c r="A6" s="444" t="s">
        <v>553</v>
      </c>
      <c r="B6" s="580" t="s">
        <v>521</v>
      </c>
      <c r="C6" s="469" t="s">
        <v>242</v>
      </c>
    </row>
    <row r="7" spans="1:3" ht="12.75">
      <c r="A7" s="446"/>
      <c r="B7" s="581"/>
      <c r="C7" s="447"/>
    </row>
    <row r="8" spans="1:3" ht="12.75">
      <c r="A8" s="448" t="s">
        <v>606</v>
      </c>
      <c r="B8" s="582">
        <f>SUM(B25,B10,B14,B21)</f>
        <v>99646</v>
      </c>
      <c r="C8" s="449">
        <f>SUM(C25,C10,C14,C21)</f>
        <v>66331</v>
      </c>
    </row>
    <row r="9" spans="1:3" ht="12.75">
      <c r="A9" s="446"/>
      <c r="B9" s="581"/>
      <c r="C9" s="447"/>
    </row>
    <row r="10" spans="1:3" ht="13.5">
      <c r="A10" s="450" t="s">
        <v>148</v>
      </c>
      <c r="B10" s="584">
        <f>SUM(B11:B12)</f>
        <v>14055</v>
      </c>
      <c r="C10" s="451">
        <f>SUM(C11:C12)</f>
        <v>0</v>
      </c>
    </row>
    <row r="11" spans="1:3" ht="12.75">
      <c r="A11" s="452" t="s">
        <v>409</v>
      </c>
      <c r="B11" s="581">
        <v>11855</v>
      </c>
      <c r="C11" s="447"/>
    </row>
    <row r="12" spans="1:3" ht="12.75">
      <c r="A12" s="446" t="s">
        <v>141</v>
      </c>
      <c r="B12" s="581">
        <v>2200</v>
      </c>
      <c r="C12" s="447"/>
    </row>
    <row r="13" spans="1:3" ht="12.75">
      <c r="A13" s="446"/>
      <c r="B13" s="581"/>
      <c r="C13" s="447"/>
    </row>
    <row r="14" spans="1:3" ht="13.5">
      <c r="A14" s="450" t="s">
        <v>149</v>
      </c>
      <c r="B14" s="584">
        <f>SUM(B15:B19)</f>
        <v>37841</v>
      </c>
      <c r="C14" s="451">
        <f>SUM(C15:C19)</f>
        <v>20581</v>
      </c>
    </row>
    <row r="15" spans="1:3" ht="12.75">
      <c r="A15" s="446" t="s">
        <v>140</v>
      </c>
      <c r="B15" s="581">
        <v>3500</v>
      </c>
      <c r="C15" s="447"/>
    </row>
    <row r="16" spans="1:3" ht="12.75">
      <c r="A16" s="446" t="s">
        <v>147</v>
      </c>
      <c r="B16" s="581">
        <v>7000</v>
      </c>
      <c r="C16" s="447">
        <v>7000</v>
      </c>
    </row>
    <row r="17" spans="1:3" ht="12.75">
      <c r="A17" s="446" t="s">
        <v>218</v>
      </c>
      <c r="B17" s="581">
        <v>3581</v>
      </c>
      <c r="C17" s="447">
        <v>3581</v>
      </c>
    </row>
    <row r="18" spans="1:3" ht="12.75">
      <c r="A18" s="446" t="s">
        <v>261</v>
      </c>
      <c r="B18" s="581">
        <v>13760</v>
      </c>
      <c r="C18" s="447"/>
    </row>
    <row r="19" spans="1:3" ht="12.75">
      <c r="A19" s="446" t="s">
        <v>144</v>
      </c>
      <c r="B19" s="581">
        <v>10000</v>
      </c>
      <c r="C19" s="447">
        <v>10000</v>
      </c>
    </row>
    <row r="20" spans="1:3" ht="12.75">
      <c r="A20" s="452"/>
      <c r="B20" s="581"/>
      <c r="C20" s="447"/>
    </row>
    <row r="21" spans="1:3" ht="13.5">
      <c r="A21" s="450" t="s">
        <v>126</v>
      </c>
      <c r="B21" s="584">
        <f>SUM(B22:B23)</f>
        <v>14500</v>
      </c>
      <c r="C21" s="451">
        <f>SUM(C22:C23)</f>
        <v>12500</v>
      </c>
    </row>
    <row r="22" spans="1:3" ht="12.75">
      <c r="A22" s="446" t="s">
        <v>145</v>
      </c>
      <c r="B22" s="581">
        <v>12000</v>
      </c>
      <c r="C22" s="447">
        <v>10000</v>
      </c>
    </row>
    <row r="23" spans="1:3" ht="12.75">
      <c r="A23" s="446" t="s">
        <v>146</v>
      </c>
      <c r="B23" s="581">
        <v>2500</v>
      </c>
      <c r="C23" s="447">
        <v>2500</v>
      </c>
    </row>
    <row r="24" spans="1:3" ht="12.75">
      <c r="A24" s="446"/>
      <c r="B24" s="581"/>
      <c r="C24" s="447"/>
    </row>
    <row r="25" spans="1:3" ht="13.5">
      <c r="A25" s="450" t="s">
        <v>150</v>
      </c>
      <c r="B25" s="584">
        <f>SUM(B26:B30)</f>
        <v>33250</v>
      </c>
      <c r="C25" s="451">
        <f>SUM(C26:C30)</f>
        <v>33250</v>
      </c>
    </row>
    <row r="26" spans="1:3" ht="12.75">
      <c r="A26" s="446" t="s">
        <v>142</v>
      </c>
      <c r="B26" s="581">
        <v>1000</v>
      </c>
      <c r="C26" s="447">
        <v>1000</v>
      </c>
    </row>
    <row r="27" spans="1:3" ht="12.75">
      <c r="A27" s="446" t="s">
        <v>143</v>
      </c>
      <c r="B27" s="581">
        <v>1000</v>
      </c>
      <c r="C27" s="447">
        <v>1000</v>
      </c>
    </row>
    <row r="28" spans="1:3" ht="12.75">
      <c r="A28" s="446" t="s">
        <v>138</v>
      </c>
      <c r="B28" s="581">
        <v>5000</v>
      </c>
      <c r="C28" s="447">
        <v>5000</v>
      </c>
    </row>
    <row r="29" spans="1:3" ht="12.75">
      <c r="A29" s="446" t="s">
        <v>139</v>
      </c>
      <c r="B29" s="581">
        <v>20000</v>
      </c>
      <c r="C29" s="447">
        <v>20000</v>
      </c>
    </row>
    <row r="30" spans="1:3" ht="12.75">
      <c r="A30" s="446" t="s">
        <v>217</v>
      </c>
      <c r="B30" s="581">
        <v>6250</v>
      </c>
      <c r="C30" s="447">
        <v>6250</v>
      </c>
    </row>
    <row r="31" spans="1:3" ht="12.75">
      <c r="A31" s="446"/>
      <c r="B31" s="581"/>
      <c r="C31" s="447"/>
    </row>
    <row r="32" spans="1:3" ht="12.75">
      <c r="A32" s="448" t="s">
        <v>520</v>
      </c>
      <c r="B32" s="582">
        <f>SUM(B33)</f>
        <v>2350</v>
      </c>
      <c r="C32" s="449">
        <f>SUM(C33)</f>
        <v>0</v>
      </c>
    </row>
    <row r="33" spans="1:3" ht="12.75">
      <c r="A33" s="446" t="s">
        <v>260</v>
      </c>
      <c r="B33" s="581">
        <v>2350</v>
      </c>
      <c r="C33" s="447"/>
    </row>
    <row r="34" spans="1:3" ht="12.75">
      <c r="A34" s="446"/>
      <c r="B34" s="581"/>
      <c r="C34" s="447"/>
    </row>
    <row r="35" spans="1:3" s="445" customFormat="1" ht="12.75">
      <c r="A35" s="448" t="s">
        <v>527</v>
      </c>
      <c r="B35" s="582">
        <f>SUM(B36:B39)</f>
        <v>15800</v>
      </c>
      <c r="C35" s="449">
        <f>SUM(C36:C39)</f>
        <v>15800</v>
      </c>
    </row>
    <row r="36" spans="1:3" ht="12.75">
      <c r="A36" s="446" t="s">
        <v>220</v>
      </c>
      <c r="B36" s="581">
        <v>4500</v>
      </c>
      <c r="C36" s="447">
        <v>4500</v>
      </c>
    </row>
    <row r="37" spans="1:3" ht="12.75">
      <c r="A37" s="446" t="s">
        <v>221</v>
      </c>
      <c r="B37" s="581">
        <v>5000</v>
      </c>
      <c r="C37" s="447">
        <v>5000</v>
      </c>
    </row>
    <row r="38" spans="1:3" ht="12.75">
      <c r="A38" s="452" t="s">
        <v>248</v>
      </c>
      <c r="B38" s="581">
        <v>2300</v>
      </c>
      <c r="C38" s="447">
        <v>2300</v>
      </c>
    </row>
    <row r="39" spans="1:3" ht="12.75">
      <c r="A39" s="446" t="s">
        <v>222</v>
      </c>
      <c r="B39" s="581">
        <v>4000</v>
      </c>
      <c r="C39" s="447">
        <v>4000</v>
      </c>
    </row>
    <row r="40" spans="1:3" ht="12.75">
      <c r="A40" s="446"/>
      <c r="B40" s="581"/>
      <c r="C40" s="447"/>
    </row>
    <row r="41" spans="1:3" s="455" customFormat="1" ht="13.5" thickBot="1">
      <c r="A41" s="453" t="s">
        <v>484</v>
      </c>
      <c r="B41" s="583">
        <f>SUM(B8,B32,B35)</f>
        <v>117796</v>
      </c>
      <c r="C41" s="454">
        <f>SUM(C8,C32,C35)</f>
        <v>82131</v>
      </c>
    </row>
    <row r="42" ht="13.5" thickTop="1"/>
  </sheetData>
  <mergeCells count="2">
    <mergeCell ref="A3:C3"/>
    <mergeCell ref="A4:C4"/>
  </mergeCells>
  <printOptions horizontalCentered="1"/>
  <pageMargins left="0.4724409448818898" right="0.2362204724409449" top="0.76" bottom="0.4330708661417323" header="0.5118110236220472" footer="0.5118110236220472"/>
  <pageSetup horizontalDpi="600" verticalDpi="600" orientation="portrait" paperSize="9" scale="94" r:id="rId1"/>
  <headerFooter alignWithMargins="0">
    <oddHeader>&amp;L&amp;8 6. melléklet a 2/2011.(II.25.) önkormányzati rendelethez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C52"/>
  <sheetViews>
    <sheetView zoomScaleSheetLayoutView="100" workbookViewId="0" topLeftCell="A1">
      <selection activeCell="A2" sqref="A2:IV2"/>
    </sheetView>
  </sheetViews>
  <sheetFormatPr defaultColWidth="9.00390625" defaultRowHeight="12.75"/>
  <cols>
    <col min="1" max="1" width="80.125" style="442" customWidth="1"/>
    <col min="2" max="2" width="10.375" style="443" customWidth="1"/>
    <col min="3" max="3" width="9.375" style="442" bestFit="1" customWidth="1"/>
    <col min="4" max="16384" width="9.125" style="442" customWidth="1"/>
  </cols>
  <sheetData>
    <row r="1" spans="1:2" s="992" customFormat="1" ht="15">
      <c r="A1" s="990"/>
      <c r="B1" s="991"/>
    </row>
    <row r="2" spans="1:2" s="992" customFormat="1" ht="15">
      <c r="A2" s="990"/>
      <c r="B2" s="991"/>
    </row>
    <row r="3" s="992" customFormat="1" ht="14.25"/>
    <row r="4" spans="1:3" ht="15.75">
      <c r="A4" s="903" t="s">
        <v>381</v>
      </c>
      <c r="B4" s="903"/>
      <c r="C4" s="869"/>
    </row>
    <row r="5" spans="1:3" ht="15.75">
      <c r="A5" s="905" t="s">
        <v>490</v>
      </c>
      <c r="B5" s="905"/>
      <c r="C5" s="869"/>
    </row>
    <row r="6" ht="13.5" thickBot="1"/>
    <row r="7" spans="1:3" s="445" customFormat="1" ht="13.5" thickTop="1">
      <c r="A7" s="444" t="s">
        <v>553</v>
      </c>
      <c r="B7" s="580" t="s">
        <v>521</v>
      </c>
      <c r="C7" s="469" t="s">
        <v>242</v>
      </c>
    </row>
    <row r="8" spans="1:3" ht="12.75">
      <c r="A8" s="446"/>
      <c r="B8" s="581"/>
      <c r="C8" s="585"/>
    </row>
    <row r="9" spans="1:3" ht="12.75">
      <c r="A9" s="448" t="s">
        <v>606</v>
      </c>
      <c r="B9" s="582">
        <f>SUM(B11,B17,B32,B36)</f>
        <v>2517144</v>
      </c>
      <c r="C9" s="449">
        <f>SUM(C17,C11,C32,C36)</f>
        <v>2125655</v>
      </c>
    </row>
    <row r="10" spans="1:3" ht="12.75">
      <c r="A10" s="446"/>
      <c r="B10" s="581"/>
      <c r="C10" s="447"/>
    </row>
    <row r="11" spans="1:3" ht="13.5">
      <c r="A11" s="450" t="s">
        <v>148</v>
      </c>
      <c r="B11" s="584">
        <f>SUM(B12:B15)</f>
        <v>11081</v>
      </c>
      <c r="C11" s="451">
        <f>SUM(C12:C15)</f>
        <v>0</v>
      </c>
    </row>
    <row r="12" spans="1:3" ht="12.75">
      <c r="A12" s="446" t="s">
        <v>116</v>
      </c>
      <c r="B12" s="581">
        <v>4431</v>
      </c>
      <c r="C12" s="447"/>
    </row>
    <row r="13" spans="1:3" ht="12.75">
      <c r="A13" s="446" t="s">
        <v>124</v>
      </c>
      <c r="B13" s="581">
        <v>100</v>
      </c>
      <c r="C13" s="447"/>
    </row>
    <row r="14" spans="1:3" ht="12.75">
      <c r="A14" s="446" t="s">
        <v>127</v>
      </c>
      <c r="B14" s="581">
        <v>2500</v>
      </c>
      <c r="C14" s="447"/>
    </row>
    <row r="15" spans="1:3" ht="12.75">
      <c r="A15" s="446" t="s">
        <v>14</v>
      </c>
      <c r="B15" s="581">
        <v>4050</v>
      </c>
      <c r="C15" s="447"/>
    </row>
    <row r="16" spans="1:3" ht="12.75">
      <c r="A16" s="446"/>
      <c r="B16" s="581"/>
      <c r="C16" s="447"/>
    </row>
    <row r="17" spans="1:3" s="767" customFormat="1" ht="13.5">
      <c r="A17" s="450" t="s">
        <v>149</v>
      </c>
      <c r="B17" s="584">
        <f>SUM(B18:B30)</f>
        <v>2428563</v>
      </c>
      <c r="C17" s="451">
        <f>SUM(C18:C30)</f>
        <v>2098855</v>
      </c>
    </row>
    <row r="18" spans="1:3" ht="12.75">
      <c r="A18" s="446" t="s">
        <v>115</v>
      </c>
      <c r="B18" s="581">
        <v>20000</v>
      </c>
      <c r="C18" s="447"/>
    </row>
    <row r="19" spans="1:3" ht="12.75">
      <c r="A19" s="446" t="s">
        <v>117</v>
      </c>
      <c r="B19" s="581">
        <v>718000</v>
      </c>
      <c r="C19" s="447">
        <v>714669</v>
      </c>
    </row>
    <row r="20" spans="1:3" ht="12.75">
      <c r="A20" s="446" t="s">
        <v>25</v>
      </c>
      <c r="B20" s="581">
        <v>1250000</v>
      </c>
      <c r="C20" s="447">
        <v>1248631</v>
      </c>
    </row>
    <row r="21" spans="1:3" ht="12.75">
      <c r="A21" s="446" t="s">
        <v>151</v>
      </c>
      <c r="B21" s="581">
        <v>10500</v>
      </c>
      <c r="C21" s="447"/>
    </row>
    <row r="22" spans="1:3" ht="12.75">
      <c r="A22" s="446" t="s">
        <v>403</v>
      </c>
      <c r="B22" s="581">
        <v>80000</v>
      </c>
      <c r="C22" s="447"/>
    </row>
    <row r="23" spans="1:3" ht="12.75">
      <c r="A23" s="446" t="s">
        <v>119</v>
      </c>
      <c r="B23" s="581">
        <v>146343</v>
      </c>
      <c r="C23" s="447"/>
    </row>
    <row r="24" spans="1:3" ht="13.5" customHeight="1">
      <c r="A24" s="452" t="s">
        <v>120</v>
      </c>
      <c r="B24" s="581">
        <v>59352</v>
      </c>
      <c r="C24" s="447"/>
    </row>
    <row r="25" spans="1:3" ht="13.5" customHeight="1">
      <c r="A25" s="452" t="s">
        <v>246</v>
      </c>
      <c r="B25" s="581">
        <v>130000</v>
      </c>
      <c r="C25" s="447">
        <v>130000</v>
      </c>
    </row>
    <row r="26" spans="1:3" ht="12.75">
      <c r="A26" s="446" t="s">
        <v>121</v>
      </c>
      <c r="B26" s="581">
        <v>1240</v>
      </c>
      <c r="C26" s="447">
        <v>1240</v>
      </c>
    </row>
    <row r="27" spans="1:3" ht="12.75">
      <c r="A27" s="446" t="s">
        <v>122</v>
      </c>
      <c r="B27" s="581">
        <v>450</v>
      </c>
      <c r="C27" s="447">
        <v>450</v>
      </c>
    </row>
    <row r="28" spans="1:3" ht="12.75">
      <c r="A28" s="446" t="s">
        <v>123</v>
      </c>
      <c r="B28" s="581">
        <v>3000</v>
      </c>
      <c r="C28" s="447"/>
    </row>
    <row r="29" spans="1:3" ht="12.75">
      <c r="A29" s="446" t="s">
        <v>125</v>
      </c>
      <c r="B29" s="581">
        <v>3865</v>
      </c>
      <c r="C29" s="447">
        <v>3865</v>
      </c>
    </row>
    <row r="30" spans="1:3" ht="12.75">
      <c r="A30" s="446" t="s">
        <v>131</v>
      </c>
      <c r="B30" s="581">
        <v>5813</v>
      </c>
      <c r="C30" s="447"/>
    </row>
    <row r="31" spans="1:3" ht="12.75">
      <c r="A31" s="446"/>
      <c r="B31" s="581"/>
      <c r="C31" s="447"/>
    </row>
    <row r="32" spans="1:3" ht="13.5">
      <c r="A32" s="450" t="s">
        <v>126</v>
      </c>
      <c r="B32" s="584">
        <f>SUM(B33:B34)</f>
        <v>20950</v>
      </c>
      <c r="C32" s="451">
        <f>SUM(C33:C34)</f>
        <v>0</v>
      </c>
    </row>
    <row r="33" spans="1:3" ht="12.75">
      <c r="A33" s="446" t="s">
        <v>128</v>
      </c>
      <c r="B33" s="581">
        <v>5000</v>
      </c>
      <c r="C33" s="447"/>
    </row>
    <row r="34" spans="1:3" ht="12.75">
      <c r="A34" s="446" t="s">
        <v>137</v>
      </c>
      <c r="B34" s="581">
        <f>20000-4050</f>
        <v>15950</v>
      </c>
      <c r="C34" s="447"/>
    </row>
    <row r="35" spans="1:3" ht="12.75">
      <c r="A35" s="446"/>
      <c r="B35" s="581"/>
      <c r="C35" s="447"/>
    </row>
    <row r="36" spans="1:3" s="767" customFormat="1" ht="13.5">
      <c r="A36" s="450" t="s">
        <v>150</v>
      </c>
      <c r="B36" s="584">
        <f>SUM(B37:B45)</f>
        <v>56550</v>
      </c>
      <c r="C36" s="451">
        <f>SUM(C37:C45)</f>
        <v>26800</v>
      </c>
    </row>
    <row r="37" spans="1:3" ht="12.75">
      <c r="A37" s="446" t="s">
        <v>24</v>
      </c>
      <c r="B37" s="581">
        <v>4000</v>
      </c>
      <c r="C37" s="447">
        <v>4000</v>
      </c>
    </row>
    <row r="38" spans="1:3" ht="12.75">
      <c r="A38" s="446" t="s">
        <v>130</v>
      </c>
      <c r="B38" s="581">
        <v>800</v>
      </c>
      <c r="C38" s="447">
        <v>800</v>
      </c>
    </row>
    <row r="39" spans="1:3" ht="12.75">
      <c r="A39" s="446" t="s">
        <v>132</v>
      </c>
      <c r="B39" s="581">
        <v>1250</v>
      </c>
      <c r="C39" s="447"/>
    </row>
    <row r="40" spans="1:3" ht="12.75">
      <c r="A40" s="446" t="s">
        <v>249</v>
      </c>
      <c r="B40" s="581">
        <v>18750</v>
      </c>
      <c r="C40" s="447"/>
    </row>
    <row r="41" spans="1:3" ht="12.75">
      <c r="A41" s="446" t="s">
        <v>133</v>
      </c>
      <c r="B41" s="581"/>
      <c r="C41" s="447"/>
    </row>
    <row r="42" spans="1:3" ht="12.75">
      <c r="A42" s="446" t="s">
        <v>134</v>
      </c>
      <c r="B42" s="581">
        <v>8000</v>
      </c>
      <c r="C42" s="447">
        <v>8000</v>
      </c>
    </row>
    <row r="43" spans="1:3" ht="12.75">
      <c r="A43" s="446" t="s">
        <v>135</v>
      </c>
      <c r="B43" s="581">
        <v>10000</v>
      </c>
      <c r="C43" s="447">
        <v>10000</v>
      </c>
    </row>
    <row r="44" spans="1:3" ht="12.75">
      <c r="A44" s="446" t="s">
        <v>283</v>
      </c>
      <c r="B44" s="581">
        <v>5000</v>
      </c>
      <c r="C44" s="447">
        <v>4000</v>
      </c>
    </row>
    <row r="45" spans="1:3" ht="12.75">
      <c r="A45" s="446" t="s">
        <v>136</v>
      </c>
      <c r="B45" s="581">
        <v>8750</v>
      </c>
      <c r="C45" s="447"/>
    </row>
    <row r="46" spans="1:3" ht="12.75">
      <c r="A46" s="446"/>
      <c r="B46" s="581"/>
      <c r="C46" s="447"/>
    </row>
    <row r="47" spans="1:3" s="445" customFormat="1" ht="12.75">
      <c r="A47" s="448" t="s">
        <v>520</v>
      </c>
      <c r="B47" s="582">
        <f>SUM(B48)</f>
        <v>1500</v>
      </c>
      <c r="C47" s="449">
        <f>SUM(C48)</f>
        <v>0</v>
      </c>
    </row>
    <row r="48" spans="1:3" ht="12.75">
      <c r="A48" s="446" t="s">
        <v>259</v>
      </c>
      <c r="B48" s="581">
        <v>1500</v>
      </c>
      <c r="C48" s="447"/>
    </row>
    <row r="49" spans="1:3" ht="12.75">
      <c r="A49" s="446"/>
      <c r="B49" s="581"/>
      <c r="C49" s="447"/>
    </row>
    <row r="50" spans="1:3" s="445" customFormat="1" ht="12.75">
      <c r="A50" s="448" t="s">
        <v>527</v>
      </c>
      <c r="B50" s="582">
        <v>0</v>
      </c>
      <c r="C50" s="449"/>
    </row>
    <row r="51" spans="1:3" ht="12.75">
      <c r="A51" s="446"/>
      <c r="B51" s="581"/>
      <c r="C51" s="447"/>
    </row>
    <row r="52" spans="1:3" s="455" customFormat="1" ht="13.5" thickBot="1">
      <c r="A52" s="453" t="s">
        <v>484</v>
      </c>
      <c r="B52" s="583">
        <f>SUM(B9,B47,B50)</f>
        <v>2518644</v>
      </c>
      <c r="C52" s="454">
        <f>SUM(C9,C47,C50)</f>
        <v>2125655</v>
      </c>
    </row>
    <row r="53" ht="13.5" thickTop="1"/>
  </sheetData>
  <mergeCells count="2">
    <mergeCell ref="A4:C4"/>
    <mergeCell ref="A5:C5"/>
  </mergeCells>
  <printOptions horizontalCentered="1"/>
  <pageMargins left="0.5118110236220472" right="0.2755905511811024" top="0.2362204724409449" bottom="0.2362204724409449" header="0.39" footer="0.5118110236220472"/>
  <pageSetup horizontalDpi="600" verticalDpi="600" orientation="portrait" paperSize="9" scale="96" r:id="rId1"/>
  <headerFooter alignWithMargins="0">
    <oddHeader>&amp;L&amp;8 7. melléklet a 2/2011.(II.25.) önkormányzati rendelethez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C44"/>
  <sheetViews>
    <sheetView zoomScaleSheetLayoutView="100" workbookViewId="0" topLeftCell="A24">
      <selection activeCell="A34" sqref="A34"/>
    </sheetView>
  </sheetViews>
  <sheetFormatPr defaultColWidth="9.00390625" defaultRowHeight="12.75"/>
  <cols>
    <col min="1" max="1" width="64.25390625" style="0" customWidth="1"/>
    <col min="2" max="2" width="10.75390625" style="0" customWidth="1"/>
    <col min="3" max="3" width="10.25390625" style="0" customWidth="1"/>
  </cols>
  <sheetData>
    <row r="1" spans="1:2" ht="12.75">
      <c r="A1" s="24"/>
      <c r="B1" s="4"/>
    </row>
    <row r="2" spans="1:2" ht="12.75">
      <c r="A2" s="24"/>
      <c r="B2" s="4"/>
    </row>
    <row r="3" spans="1:3" ht="13.5">
      <c r="A3" s="906" t="s">
        <v>384</v>
      </c>
      <c r="B3" s="907"/>
      <c r="C3" s="869"/>
    </row>
    <row r="4" spans="1:3" ht="13.5">
      <c r="A4" s="906" t="s">
        <v>500</v>
      </c>
      <c r="B4" s="907"/>
      <c r="C4" s="869"/>
    </row>
    <row r="5" spans="1:2" ht="16.5" thickBot="1">
      <c r="A5" s="6"/>
      <c r="B5" s="4"/>
    </row>
    <row r="6" spans="1:3" ht="55.5" customHeight="1" thickTop="1">
      <c r="A6" s="32" t="s">
        <v>553</v>
      </c>
      <c r="B6" s="157" t="s">
        <v>522</v>
      </c>
      <c r="C6" s="158" t="s">
        <v>503</v>
      </c>
    </row>
    <row r="7" spans="1:3" ht="15" customHeight="1">
      <c r="A7" s="130" t="s">
        <v>752</v>
      </c>
      <c r="B7" s="159">
        <v>43200</v>
      </c>
      <c r="C7" s="160">
        <v>34560</v>
      </c>
    </row>
    <row r="8" spans="1:3" ht="15" customHeight="1">
      <c r="A8" s="99" t="s">
        <v>634</v>
      </c>
      <c r="B8" s="161">
        <v>15000</v>
      </c>
      <c r="C8" s="160">
        <v>13500</v>
      </c>
    </row>
    <row r="9" spans="1:3" ht="15" customHeight="1">
      <c r="A9" s="99" t="s">
        <v>753</v>
      </c>
      <c r="B9" s="161">
        <v>4000</v>
      </c>
      <c r="C9" s="160">
        <v>3600</v>
      </c>
    </row>
    <row r="10" spans="1:3" ht="15" customHeight="1">
      <c r="A10" s="99" t="s">
        <v>497</v>
      </c>
      <c r="B10" s="161">
        <v>1300</v>
      </c>
      <c r="C10" s="160">
        <v>1170</v>
      </c>
    </row>
    <row r="11" spans="1:3" ht="15" customHeight="1">
      <c r="A11" s="99" t="s">
        <v>636</v>
      </c>
      <c r="B11" s="161">
        <v>16800</v>
      </c>
      <c r="C11" s="160">
        <v>15120</v>
      </c>
    </row>
    <row r="12" spans="1:3" ht="15" customHeight="1">
      <c r="A12" s="99" t="s">
        <v>637</v>
      </c>
      <c r="B12" s="161">
        <v>4000</v>
      </c>
      <c r="C12" s="160"/>
    </row>
    <row r="13" spans="1:3" ht="15" customHeight="1">
      <c r="A13" s="99" t="s">
        <v>491</v>
      </c>
      <c r="B13" s="161">
        <v>5000</v>
      </c>
      <c r="C13" s="160">
        <v>4500</v>
      </c>
    </row>
    <row r="14" spans="1:3" ht="15" customHeight="1">
      <c r="A14" s="99" t="s">
        <v>638</v>
      </c>
      <c r="B14" s="161">
        <v>29000</v>
      </c>
      <c r="C14" s="160">
        <v>21750</v>
      </c>
    </row>
    <row r="15" spans="1:3" ht="15" customHeight="1">
      <c r="A15" s="99" t="s">
        <v>639</v>
      </c>
      <c r="B15" s="161">
        <v>4000</v>
      </c>
      <c r="C15" s="160"/>
    </row>
    <row r="16" spans="1:3" ht="15" customHeight="1">
      <c r="A16" s="99" t="s">
        <v>640</v>
      </c>
      <c r="B16" s="161">
        <v>3000</v>
      </c>
      <c r="C16" s="160"/>
    </row>
    <row r="17" spans="1:3" ht="15" customHeight="1">
      <c r="A17" s="99" t="s">
        <v>641</v>
      </c>
      <c r="B17" s="161">
        <v>2100</v>
      </c>
      <c r="C17" s="160"/>
    </row>
    <row r="18" spans="1:3" ht="15" customHeight="1">
      <c r="A18" s="99" t="s">
        <v>644</v>
      </c>
      <c r="B18" s="161">
        <v>7500</v>
      </c>
      <c r="C18" s="160">
        <v>7500</v>
      </c>
    </row>
    <row r="19" spans="1:3" ht="15" customHeight="1">
      <c r="A19" s="99" t="s">
        <v>645</v>
      </c>
      <c r="B19" s="161">
        <v>2000</v>
      </c>
      <c r="C19" s="160"/>
    </row>
    <row r="20" spans="1:3" ht="15" customHeight="1">
      <c r="A20" s="99" t="s">
        <v>653</v>
      </c>
      <c r="B20" s="161">
        <v>200</v>
      </c>
      <c r="C20" s="160"/>
    </row>
    <row r="21" spans="1:3" ht="15" customHeight="1">
      <c r="A21" s="99" t="s">
        <v>630</v>
      </c>
      <c r="B21" s="161">
        <v>1500</v>
      </c>
      <c r="C21" s="160">
        <v>1500</v>
      </c>
    </row>
    <row r="22" spans="1:3" ht="15" customHeight="1">
      <c r="A22" s="99" t="s">
        <v>492</v>
      </c>
      <c r="B22" s="161"/>
      <c r="C22" s="160"/>
    </row>
    <row r="23" spans="1:3" ht="15" customHeight="1">
      <c r="A23" s="99" t="s">
        <v>504</v>
      </c>
      <c r="B23" s="161"/>
      <c r="C23" s="160"/>
    </row>
    <row r="24" spans="1:3" ht="15" customHeight="1">
      <c r="A24" s="99" t="s">
        <v>757</v>
      </c>
      <c r="B24" s="161">
        <v>300</v>
      </c>
      <c r="C24" s="160">
        <v>300</v>
      </c>
    </row>
    <row r="25" spans="1:3" ht="15" customHeight="1">
      <c r="A25" s="99" t="s">
        <v>758</v>
      </c>
      <c r="B25" s="161">
        <v>4865</v>
      </c>
      <c r="C25" s="160"/>
    </row>
    <row r="26" spans="1:3" ht="15" customHeight="1">
      <c r="A26" s="99" t="s">
        <v>642</v>
      </c>
      <c r="B26" s="161"/>
      <c r="C26" s="160"/>
    </row>
    <row r="27" spans="1:3" ht="15" customHeight="1">
      <c r="A27" s="99" t="s">
        <v>390</v>
      </c>
      <c r="B27" s="161"/>
      <c r="C27" s="160"/>
    </row>
    <row r="28" spans="1:3" s="105" customFormat="1" ht="15" customHeight="1">
      <c r="A28" s="33" t="s">
        <v>647</v>
      </c>
      <c r="B28" s="162">
        <f>SUM(B7:B27)</f>
        <v>143765</v>
      </c>
      <c r="C28" s="163">
        <f>SUM(C7:C26)</f>
        <v>103500</v>
      </c>
    </row>
    <row r="29" spans="1:3" ht="15" customHeight="1">
      <c r="A29" s="100"/>
      <c r="B29" s="164"/>
      <c r="C29" s="160"/>
    </row>
    <row r="30" spans="1:3" ht="15" customHeight="1">
      <c r="A30" s="99" t="s">
        <v>762</v>
      </c>
      <c r="B30" s="164">
        <v>4500</v>
      </c>
      <c r="C30" s="160"/>
    </row>
    <row r="31" spans="1:3" ht="15" customHeight="1">
      <c r="A31" s="99" t="s">
        <v>493</v>
      </c>
      <c r="B31" s="161"/>
      <c r="C31" s="160"/>
    </row>
    <row r="32" spans="1:3" ht="15" customHeight="1">
      <c r="A32" s="99" t="s">
        <v>498</v>
      </c>
      <c r="B32" s="161">
        <v>1200</v>
      </c>
      <c r="C32" s="160"/>
    </row>
    <row r="33" spans="1:3" ht="15" customHeight="1">
      <c r="A33" s="99" t="s">
        <v>499</v>
      </c>
      <c r="B33" s="161">
        <v>1000</v>
      </c>
      <c r="C33" s="160"/>
    </row>
    <row r="34" spans="1:3" ht="15" customHeight="1">
      <c r="A34" s="99" t="s">
        <v>643</v>
      </c>
      <c r="B34" s="161">
        <v>2650</v>
      </c>
      <c r="C34" s="160"/>
    </row>
    <row r="35" spans="1:3" s="105" customFormat="1" ht="15" customHeight="1">
      <c r="A35" s="33" t="s">
        <v>649</v>
      </c>
      <c r="B35" s="162">
        <f>SUM(B30:B34)</f>
        <v>9350</v>
      </c>
      <c r="C35" s="163">
        <f>SUM(C30:C34)</f>
        <v>0</v>
      </c>
    </row>
    <row r="36" spans="1:3" ht="15" customHeight="1">
      <c r="A36" s="99"/>
      <c r="B36" s="161"/>
      <c r="C36" s="160"/>
    </row>
    <row r="37" spans="1:3" s="105" customFormat="1" ht="15" customHeight="1">
      <c r="A37" s="33" t="s">
        <v>650</v>
      </c>
      <c r="B37" s="162">
        <f>SUM(B28,B35)</f>
        <v>153115</v>
      </c>
      <c r="C37" s="163">
        <f>SUM(C28,C35)</f>
        <v>103500</v>
      </c>
    </row>
    <row r="38" spans="1:3" ht="15" customHeight="1">
      <c r="A38" s="10"/>
      <c r="B38" s="161"/>
      <c r="C38" s="160"/>
    </row>
    <row r="39" spans="1:3" s="105" customFormat="1" ht="15" customHeight="1">
      <c r="A39" s="25" t="s">
        <v>629</v>
      </c>
      <c r="B39" s="162">
        <f>SUM(B40:B41)</f>
        <v>8040</v>
      </c>
      <c r="C39" s="163">
        <f>SUM(C40:C41)</f>
        <v>5220</v>
      </c>
    </row>
    <row r="40" spans="1:3" ht="15" customHeight="1">
      <c r="A40" s="10" t="s">
        <v>651</v>
      </c>
      <c r="B40" s="161">
        <v>6960</v>
      </c>
      <c r="C40" s="160">
        <v>5220</v>
      </c>
    </row>
    <row r="41" spans="1:3" ht="15" customHeight="1">
      <c r="A41" s="10" t="s">
        <v>652</v>
      </c>
      <c r="B41" s="161">
        <v>1080</v>
      </c>
      <c r="C41" s="160"/>
    </row>
    <row r="42" spans="1:3" ht="15" customHeight="1">
      <c r="A42" s="10"/>
      <c r="B42" s="161"/>
      <c r="C42" s="160"/>
    </row>
    <row r="43" spans="1:3" s="104" customFormat="1" ht="15" customHeight="1" thickBot="1">
      <c r="A43" s="101" t="s">
        <v>528</v>
      </c>
      <c r="B43" s="165">
        <f>SUM(B37,B39)</f>
        <v>161155</v>
      </c>
      <c r="C43" s="166">
        <f>SUM(C37,C39)</f>
        <v>108720</v>
      </c>
    </row>
    <row r="44" spans="1:2" ht="13.5" thickTop="1">
      <c r="A44" s="4"/>
      <c r="B44" s="4"/>
    </row>
  </sheetData>
  <mergeCells count="2">
    <mergeCell ref="A3:C3"/>
    <mergeCell ref="A4:C4"/>
  </mergeCells>
  <printOptions horizontalCentered="1"/>
  <pageMargins left="0.7874015748031497" right="0.7874015748031497" top="0.7874015748031497" bottom="0.31496062992125984" header="0.15748031496062992" footer="0.1968503937007874"/>
  <pageSetup horizontalDpi="600" verticalDpi="600" orientation="portrait" paperSize="9" r:id="rId1"/>
  <headerFooter alignWithMargins="0">
    <oddHeader>&amp;L&amp;8 8. melléklet a 2/2011.(II.25.)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Polg.Hiv.Tata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</dc:creator>
  <cp:keywords/>
  <dc:description/>
  <cp:lastModifiedBy>moni</cp:lastModifiedBy>
  <cp:lastPrinted>2011-02-24T13:31:22Z</cp:lastPrinted>
  <dcterms:created xsi:type="dcterms:W3CDTF">2003-02-14T08:59:10Z</dcterms:created>
  <dcterms:modified xsi:type="dcterms:W3CDTF">2011-02-24T13:31:24Z</dcterms:modified>
  <cp:category/>
  <cp:version/>
  <cp:contentType/>
  <cp:contentStatus/>
</cp:coreProperties>
</file>